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omments2.xml" ContentType="application/vnd.openxmlformats-officedocument.spreadsheetml.comments+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xml"/>
  <Override PartName="/xl/comments3.xml" ContentType="application/vnd.openxmlformats-officedocument.spreadsheetml.comment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charts/chart37.xml" ContentType="application/vnd.openxmlformats-officedocument.drawingml.chart+xml"/>
  <Override PartName="/xl/charts/chart38.xml" ContentType="application/vnd.openxmlformats-officedocument.drawingml.chart+xml"/>
  <Override PartName="/xl/charts/style37.xml" ContentType="application/vnd.ms-office.chartstyle+xml"/>
  <Override PartName="/xl/charts/colors37.xml" ContentType="application/vnd.ms-office.chartcolorstyle+xml"/>
  <Override PartName="/xl/drawings/drawing5.xml" ContentType="application/vnd.openxmlformats-officedocument.drawing+xml"/>
  <Override PartName="/xl/charts/chart39.xml" ContentType="application/vnd.openxmlformats-officedocument.drawingml.chart+xml"/>
  <Override PartName="/xl/charts/style38.xml" ContentType="application/vnd.ms-office.chartstyle+xml"/>
  <Override PartName="/xl/charts/colors38.xml" ContentType="application/vnd.ms-office.chartcolorstyle+xml"/>
  <Override PartName="/xl/charts/chart40.xml" ContentType="application/vnd.openxmlformats-officedocument.drawingml.chart+xml"/>
  <Override PartName="/xl/charts/style39.xml" ContentType="application/vnd.ms-office.chartstyle+xml"/>
  <Override PartName="/xl/charts/colors39.xml" ContentType="application/vnd.ms-office.chartcolorstyle+xml"/>
  <Override PartName="/xl/charts/chart41.xml" ContentType="application/vnd.openxmlformats-officedocument.drawingml.chart+xml"/>
  <Override PartName="/xl/charts/style40.xml" ContentType="application/vnd.ms-office.chartstyle+xml"/>
  <Override PartName="/xl/charts/colors40.xml" ContentType="application/vnd.ms-office.chartcolorstyle+xml"/>
  <Override PartName="/xl/charts/chart42.xml" ContentType="application/vnd.openxmlformats-officedocument.drawingml.chart+xml"/>
  <Override PartName="/xl/charts/style41.xml" ContentType="application/vnd.ms-office.chartstyle+xml"/>
  <Override PartName="/xl/charts/colors41.xml" ContentType="application/vnd.ms-office.chartcolorstyle+xml"/>
  <Override PartName="/xl/charts/chart43.xml" ContentType="application/vnd.openxmlformats-officedocument.drawingml.chart+xml"/>
  <Override PartName="/xl/charts/style42.xml" ContentType="application/vnd.ms-office.chartstyle+xml"/>
  <Override PartName="/xl/charts/colors42.xml" ContentType="application/vnd.ms-office.chartcolorstyle+xml"/>
  <Override PartName="/xl/charts/chart44.xml" ContentType="application/vnd.openxmlformats-officedocument.drawingml.chart+xml"/>
  <Override PartName="/xl/charts/style43.xml" ContentType="application/vnd.ms-office.chartstyle+xml"/>
  <Override PartName="/xl/charts/colors43.xml" ContentType="application/vnd.ms-office.chartcolorstyle+xml"/>
  <Override PartName="/xl/charts/chart45.xml" ContentType="application/vnd.openxmlformats-officedocument.drawingml.chart+xml"/>
  <Override PartName="/xl/charts/style44.xml" ContentType="application/vnd.ms-office.chartstyle+xml"/>
  <Override PartName="/xl/charts/colors44.xml" ContentType="application/vnd.ms-office.chartcolorstyle+xml"/>
  <Override PartName="/xl/charts/chart46.xml" ContentType="application/vnd.openxmlformats-officedocument.drawingml.chart+xml"/>
  <Override PartName="/xl/charts/style45.xml" ContentType="application/vnd.ms-office.chartstyle+xml"/>
  <Override PartName="/xl/charts/colors45.xml" ContentType="application/vnd.ms-office.chartcolorstyle+xml"/>
  <Override PartName="/xl/charts/chart47.xml" ContentType="application/vnd.openxmlformats-officedocument.drawingml.chart+xml"/>
  <Override PartName="/xl/charts/style46.xml" ContentType="application/vnd.ms-office.chartstyle+xml"/>
  <Override PartName="/xl/charts/colors46.xml" ContentType="application/vnd.ms-office.chartcolorstyle+xml"/>
  <Override PartName="/xl/charts/chart48.xml" ContentType="application/vnd.openxmlformats-officedocument.drawingml.chart+xml"/>
  <Override PartName="/xl/charts/style47.xml" ContentType="application/vnd.ms-office.chartstyle+xml"/>
  <Override PartName="/xl/charts/colors47.xml" ContentType="application/vnd.ms-office.chartcolorstyle+xml"/>
  <Override PartName="/xl/charts/chart49.xml" ContentType="application/vnd.openxmlformats-officedocument.drawingml.chart+xml"/>
  <Override PartName="/xl/charts/style48.xml" ContentType="application/vnd.ms-office.chartstyle+xml"/>
  <Override PartName="/xl/charts/colors48.xml" ContentType="application/vnd.ms-office.chartcolorstyle+xml"/>
  <Override PartName="/xl/charts/chart50.xml" ContentType="application/vnd.openxmlformats-officedocument.drawingml.chart+xml"/>
  <Override PartName="/xl/charts/style49.xml" ContentType="application/vnd.ms-office.chartstyle+xml"/>
  <Override PartName="/xl/charts/colors49.xml" ContentType="application/vnd.ms-office.chartcolorstyle+xml"/>
  <Override PartName="/xl/charts/chart51.xml" ContentType="application/vnd.openxmlformats-officedocument.drawingml.chart+xml"/>
  <Override PartName="/xl/charts/style50.xml" ContentType="application/vnd.ms-office.chartstyle+xml"/>
  <Override PartName="/xl/charts/colors50.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S:\TELECOMS\STOCKS\North America\Block\Models\Current\"/>
    </mc:Choice>
  </mc:AlternateContent>
  <xr:revisionPtr revIDLastSave="0" documentId="13_ncr:1_{0846CAA8-2DB2-427C-AE97-13EC26BC6E6C}" xr6:coauthVersionLast="47" xr6:coauthVersionMax="47" xr10:uidLastSave="{00000000-0000-0000-0000-000000000000}"/>
  <bookViews>
    <workbookView xWindow="-96" yWindow="-96" windowWidth="20928" windowHeight="12432" xr2:uid="{90297A26-2A3A-452A-8F0B-B6840C0D423E}"/>
  </bookViews>
  <sheets>
    <sheet name="Cover" sheetId="18" r:id="rId1"/>
    <sheet name="Master" sheetId="1" r:id="rId2"/>
    <sheet name="Interims" sheetId="4" r:id="rId3"/>
    <sheet name="Valuation" sheetId="10" r:id="rId4"/>
    <sheet name="Summary" sheetId="17" r:id="rId5"/>
    <sheet name="Consensus" sheetId="13" r:id="rId6"/>
    <sheet name="Guide" sheetId="15" r:id="rId7"/>
    <sheet name="Snaps" sheetId="14" r:id="rId8"/>
    <sheet name="Analysis" sheetId="9" r:id="rId9"/>
    <sheet name="Notes" sheetId="11" r:id="rId10"/>
    <sheet name="Revolut" sheetId="16" r:id="rId11"/>
    <sheet name="BNPL" sheetId="7" r:id="rId12"/>
    <sheet name="Op Metrics - feeder" sheetId="8" r:id="rId13"/>
    <sheet name="GAAP feeder" sheetId="3" r:id="rId14"/>
    <sheet name="Non GAAP feeder" sheetId="2" r:id="rId15"/>
    <sheet name="Segment feeder" sheetId="6" r:id="rId16"/>
  </sheets>
  <externalReferences>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s>
  <definedNames>
    <definedName name="___" localSheetId="0">#REF!</definedName>
    <definedName name="___">#REF!</definedName>
    <definedName name="________yr1996" localSheetId="0">#REF!</definedName>
    <definedName name="________yr1996">#REF!</definedName>
    <definedName name="___yr1996" localSheetId="0">#REF!</definedName>
    <definedName name="___yr1996">#REF!</definedName>
    <definedName name="__FDS_HYPERLINK_TOGGLE_STATE__" hidden="1">"ON"</definedName>
    <definedName name="__yr1996">#REF!</definedName>
    <definedName name="_1993A">#REF!</definedName>
    <definedName name="_1994A">#REF!</definedName>
    <definedName name="_1995">#REF!</definedName>
    <definedName name="_1995A">#REF!</definedName>
    <definedName name="_1996">#REF!</definedName>
    <definedName name="_1996A">#REF!</definedName>
    <definedName name="_1997">#REF!</definedName>
    <definedName name="_1997A">#REF!</definedName>
    <definedName name="_1998">#REF!</definedName>
    <definedName name="_1998E">#REF!</definedName>
    <definedName name="_1999">#REF!</definedName>
    <definedName name="_1999E">#REF!</definedName>
    <definedName name="_2000">#REF!</definedName>
    <definedName name="_2000E">#REF!</definedName>
    <definedName name="_2001">#REF!</definedName>
    <definedName name="_2001E">#REF!</definedName>
    <definedName name="_2002">#REF!</definedName>
    <definedName name="_2002E">#REF!</definedName>
    <definedName name="_2003E">#REF!</definedName>
    <definedName name="_2004E">#REF!</definedName>
    <definedName name="_2005E">#REF!</definedName>
    <definedName name="_Admin" hidden="1">"No"</definedName>
    <definedName name="_Fill" hidden="1">#REF!</definedName>
    <definedName name="_xlnm._FilterDatabase" hidden="1">#REF!</definedName>
    <definedName name="_GSR008" hidden="1">[1]Equipment!$E$134:$DT$134</definedName>
    <definedName name="_GSR012" hidden="1">[1]Equipment!$E$185:$DT$185</definedName>
    <definedName name="_InAdmin" hidden="1">"No"</definedName>
    <definedName name="_Key1" localSheetId="0" hidden="1">#REF!</definedName>
    <definedName name="_Key1" hidden="1">#REF!</definedName>
    <definedName name="_LegalOk" hidden="1">"No"</definedName>
    <definedName name="_MC16" hidden="1">[1]Equipment!$E$80:$DT$80</definedName>
    <definedName name="_MC28" hidden="1">[1]Equipment!$E$77:$DT$77</definedName>
    <definedName name="_Order1" hidden="1">255</definedName>
    <definedName name="_Order2" hidden="1">0</definedName>
    <definedName name="_Sort" localSheetId="0" hidden="1">#REF!</definedName>
    <definedName name="_Sort" hidden="1">#REF!</definedName>
    <definedName name="_UP" localSheetId="0">#REF!</definedName>
    <definedName name="_UP">#REF!</definedName>
    <definedName name="a_sted">'[2]A-sted'!$A$8:$J$52</definedName>
    <definedName name="a_sted_akk">'[2]A-sted'!$O$8:$AA$59</definedName>
    <definedName name="adfa" hidden="1">#REF!</definedName>
    <definedName name="anscount" localSheetId="0" hidden="1">2</definedName>
    <definedName name="anscount" hidden="1">1</definedName>
    <definedName name="Användare">#REF!</definedName>
    <definedName name="AP" hidden="1">[1]Model!$E$41</definedName>
    <definedName name="aRG">#REF!</definedName>
    <definedName name="ARPUInput" hidden="1">[1]Model!$E$142:$DT$142</definedName>
    <definedName name="asdfdf" localSheetId="0" hidden="1">{#N/A,#N/A,FALSE,"Statement of Ops";#N/A,#N/A,FALSE,"Trend Ops"}</definedName>
    <definedName name="asdfdf" hidden="1">{#N/A,#N/A,FALSE,"Statement of Ops";#N/A,#N/A,FALSE,"Trend Ops"}</definedName>
    <definedName name="assoc">#REF!</definedName>
    <definedName name="Assumptions" hidden="1">[1]Model!$A$30:$A$122</definedName>
    <definedName name="Austria_telenor_mobile_export">[3]IM!#REF!</definedName>
    <definedName name="AvgVoiceLines" hidden="1">[1]Model!$E$136:$DT$136</definedName>
    <definedName name="Balance_Sheet" hidden="1">'[1]Financial Statements'!$A$126:$A$177</definedName>
    <definedName name="bb" localSheetId="0" hidden="1">{#N/A,#N/A,FALSE,"Statement of Ops";#N/A,#N/A,FALSE,"Trend Ops"}</definedName>
    <definedName name="bb" hidden="1">{#N/A,#N/A,FALSE,"Statement of Ops";#N/A,#N/A,FALSE,"Trend Ops"}</definedName>
    <definedName name="Belgium_Belgacom_fixed_export">#REF!</definedName>
    <definedName name="Belgium_Belgacom_mobile_export">#REF!</definedName>
    <definedName name="bondcos">#REF!</definedName>
    <definedName name="bondcost">#REF!</definedName>
    <definedName name="BPackClust" hidden="1">[1]Equipment!$E$226:$DT$226</definedName>
    <definedName name="BPackRTU" hidden="1">[1]Equipment!$E$220:$DT$220</definedName>
    <definedName name="BPackRTUCapex" hidden="1">[1]Capex!$E$220:$DT$220</definedName>
    <definedName name="BPackRTULife" hidden="1">[1]Capex!$C$116</definedName>
    <definedName name="BPackRTUMaint" hidden="1">[1]Capex!$E$248:$DT$248</definedName>
    <definedName name="bsminority">#REF!</definedName>
    <definedName name="BT_Att">#REF!</definedName>
    <definedName name="BT_BSMins">#REF!</definedName>
    <definedName name="BT_CFPS">#REF!</definedName>
    <definedName name="BT_CFPS_fd">#REF!</definedName>
    <definedName name="BT_DPS">#REF!</definedName>
    <definedName name="BT_DtoE">#REF!</definedName>
    <definedName name="BT_EBITDA">#REF!</definedName>
    <definedName name="BT_EPS_fd">#REF!</definedName>
    <definedName name="BT_FA">#REF!</definedName>
    <definedName name="BT_Min">#REF!</definedName>
    <definedName name="BT_Minorities">#REF!</definedName>
    <definedName name="BT_Mins">#REF!</definedName>
    <definedName name="BT_NAV">#REF!</definedName>
    <definedName name="BT_NDebt">#REF!</definedName>
    <definedName name="BT_netdebt">#REF!</definedName>
    <definedName name="BT_Provs">#REF!</definedName>
    <definedName name="BT_R">#REF!</definedName>
    <definedName name="BT_Rec">#REF!</definedName>
    <definedName name="BT_ROCE">#REF!</definedName>
    <definedName name="BT_ROE">#REF!</definedName>
    <definedName name="BT_Sales">#REF!</definedName>
    <definedName name="BT_Shf">#REF!</definedName>
    <definedName name="BT_Shissued">#REF!</definedName>
    <definedName name="BT_UK_export">[4]IM!$K$12:$AL$48</definedName>
    <definedName name="BT_UP">#REF!</definedName>
    <definedName name="BTS" hidden="1">[1]Equipment!$E$212:$DT$212</definedName>
    <definedName name="BTSAppRTUCapex" hidden="1">[1]Capex!$E$218:$DT$218</definedName>
    <definedName name="BTSAppRTULife" hidden="1">[1]Capex!$C$114</definedName>
    <definedName name="BTSAppRTUMaint" hidden="1">[1]Capex!$E$247:$DT$247</definedName>
    <definedName name="BTSLife" hidden="1">[1]Capex!$C$112</definedName>
    <definedName name="BTSPlatRTUCapex" hidden="1">[1]Capex!$E$217:$DT$217</definedName>
    <definedName name="BTSPlatRTULife" hidden="1">[1]Capex!$C$113</definedName>
    <definedName name="BTSPlatRTUMaint" hidden="1">[1]Capex!$E$246:$DT$246</definedName>
    <definedName name="BTSRTU" hidden="1">[1]Equipment!$E$206:$DT$206</definedName>
    <definedName name="CalcSetting" hidden="1">[1]Equipment!$B$10</definedName>
    <definedName name="CallMgmtPctInbound" hidden="1">[1]Model!$E$118:$DT$118</definedName>
    <definedName name="CallMgmtPctOutbound" hidden="1">[1]Model!$E$119:$DT$119</definedName>
    <definedName name="Capital_Employed">#REF!</definedName>
    <definedName name="Card" hidden="1">[1]Equipment!$E$40:$DT$40</definedName>
    <definedName name="CardInput" hidden="1">'[1]Capex Input'!$E$48:$DT$48</definedName>
    <definedName name="cash">#REF!</definedName>
    <definedName name="Cash_Flow_Statement" hidden="1">'[1]Financial Statements'!$A$69:$A$122</definedName>
    <definedName name="casheps">#REF!</definedName>
    <definedName name="changend">#REF!</definedName>
    <definedName name="Chile">#REF!</definedName>
    <definedName name="CHT" hidden="1">[1]Equipment!$E$202:$DT$202</definedName>
    <definedName name="CHTInput" hidden="1">'[1]Capex Input'!$E$41:$DT$41</definedName>
    <definedName name="CMTSInputs" hidden="1">[1]Equipment!$E$13:$DT$57</definedName>
    <definedName name="CMTSOutputs" hidden="1">[1]Equipment!$E$59:$DT$68</definedName>
    <definedName name="CNAMPctInbound" hidden="1">[1]Model!$E$116:$DT$116</definedName>
    <definedName name="CNAMPctOutbound" hidden="1">[1]Model!$E$117:$DT$117</definedName>
    <definedName name="CodecInput" hidden="1">'[1]Capex Input'!$E$33:$DT$33</definedName>
    <definedName name="Cognit" hidden="1">[1]Equipment!$E$235:$DT$235</definedName>
    <definedName name="ColCount" hidden="1">[1]Equipment!$B$11</definedName>
    <definedName name="Company_Code">[5]Front!$E$10</definedName>
    <definedName name="Company_Name">[5]Front!$E$11</definedName>
    <definedName name="Core_old__BT_cap_ex">#REF!</definedName>
    <definedName name="corecapex">#REF!</definedName>
    <definedName name="cost_of_capital" hidden="1">[1]Model!$E$43</definedName>
    <definedName name="CPE">#REF!</definedName>
    <definedName name="CPULimit" hidden="1">[1]Equipment!$E$56:$DT$56</definedName>
    <definedName name="CPUPerDataSub" hidden="1">[1]Equipment!$E$36:$DT$36</definedName>
    <definedName name="CPUPerDS0" hidden="1">[1]Equipment!$E$35:$DT$35</definedName>
    <definedName name="CPUUtil" hidden="1">[1]Equipment!$E$63:$DT$63</definedName>
    <definedName name="CPUUtilData" hidden="1">[1]Equipment!$E$68:$DT$68</definedName>
    <definedName name="creditors">#REF!</definedName>
    <definedName name="cueps">#REF!</definedName>
    <definedName name="Currency">[5]Front!$E$15</definedName>
    <definedName name="Datatabell">#REF!</definedName>
    <definedName name="Date">[5]Front!$E$16</definedName>
    <definedName name="DB">"WIREUK"</definedName>
    <definedName name="DCF_Valuation">[6]UK!#REF!</definedName>
    <definedName name="debtors">#REF!</definedName>
    <definedName name="depre">#REF!</definedName>
    <definedName name="depreciation">#REF!</definedName>
    <definedName name="dere" localSheetId="0" hidden="1">{#N/A,#N/A,FALSE,"Statement of Ops";#N/A,#N/A,FALSE,"Trend Ops"}</definedName>
    <definedName name="dere" hidden="1">{#N/A,#N/A,FALSE,"Statement of Ops";#N/A,#N/A,FALSE,"Trend Ops"}</definedName>
    <definedName name="dfdfd" localSheetId="0" hidden="1">{#N/A,#N/A,FALSE,"Statement of Ops";#N/A,#N/A,FALSE,"Trend Ops"}</definedName>
    <definedName name="dfdfd" hidden="1">{#N/A,#N/A,FALSE,"Statement of Ops";#N/A,#N/A,FALSE,"Trend Ops"}</definedName>
    <definedName name="dfsdf" localSheetId="0" hidden="1">{#N/A,#N/A,FALSE,"Statement of Ops";#N/A,#N/A,FALSE,"Trend Ops"}</definedName>
    <definedName name="dfsdf" hidden="1">{#N/A,#N/A,FALSE,"Statement of Ops";#N/A,#N/A,FALSE,"Trend Ops"}</definedName>
    <definedName name="disposals">#REF!</definedName>
    <definedName name="divpaid">#REF!</definedName>
    <definedName name="dps">#REF!</definedName>
    <definedName name="dsf" localSheetId="0" hidden="1">{#N/A,#N/A,FALSE,"Statement of Ops";#N/A,#N/A,FALSE,"Trend Ops"}</definedName>
    <definedName name="dsf" hidden="1">{#N/A,#N/A,FALSE,"Statement of Ops";#N/A,#N/A,FALSE,"Trend Ops"}</definedName>
    <definedName name="DSPerDataSub" hidden="1">[1]Equipment!$E$30:$DT$30</definedName>
    <definedName name="DSPerDataSubInput" hidden="1">'[1]Capex Input'!$E$42:$DT$42</definedName>
    <definedName name="DSPerDom" hidden="1">[1]Equipment!$E$46:$DT$46</definedName>
    <definedName name="DSPerDS0" hidden="1">[1]Equipment!$E$24:$DT$24</definedName>
    <definedName name="DSUtil" hidden="1">[1]Equipment!$E$60:$DT$60</definedName>
    <definedName name="DSUtilData" hidden="1">[1]Equipment!$E$65:$DT$65</definedName>
    <definedName name="DualPctData" hidden="1">[1]Capex!$E$32:$DT$32</definedName>
    <definedName name="DualPctVoiceInput" hidden="1">[1]Model!$E$86:$DT$86</definedName>
    <definedName name="eeeeeeeeee" localSheetId="0" hidden="1">{#N/A,#N/A,FALSE,"Statement of Ops";#N/A,#N/A,FALSE,"Trend Ops"}</definedName>
    <definedName name="eeeeeeeeee" hidden="1">{#N/A,#N/A,FALSE,"Statement of Ops";#N/A,#N/A,FALSE,"Trend Ops"}</definedName>
    <definedName name="EgenRappPath">#REF!</definedName>
    <definedName name="eps">#REF!</definedName>
    <definedName name="Equipment_and_CAPEX" hidden="1">[1]Model!$A$199:$A$265</definedName>
    <definedName name="erere" localSheetId="0" hidden="1">{#N/A,#N/A,FALSE,"Statement of Ops";#N/A,#N/A,FALSE,"Trend Ops"}</definedName>
    <definedName name="erere" hidden="1">{#N/A,#N/A,FALSE,"Statement of Ops";#N/A,#N/A,FALSE,"Trend Ops"}</definedName>
    <definedName name="ererere" localSheetId="0" hidden="1">{#N/A,#N/A,FALSE,"Statement of Ops";#N/A,#N/A,FALSE,"Trend Ops"}</definedName>
    <definedName name="ererere" hidden="1">{#N/A,#N/A,FALSE,"Statement of Ops";#N/A,#N/A,FALSE,"Trend Ops"}</definedName>
    <definedName name="ErlangsPerLine" hidden="1">[1]Equipment!$E$29:$DT$29</definedName>
    <definedName name="ErlangsPerLineInput" hidden="1">'[1]Capex Input'!$E$40:$DT$40</definedName>
    <definedName name="F.1981.03">#REF!</definedName>
    <definedName name="F.1982.03">#REF!</definedName>
    <definedName name="F.1983.03">#REF!</definedName>
    <definedName name="F.1984.03">#REF!</definedName>
    <definedName name="F.1985.03">#REF!</definedName>
    <definedName name="F.1986.03">#REF!</definedName>
    <definedName name="F.1987.03">#REF!</definedName>
    <definedName name="F.1988.03">#REF!</definedName>
    <definedName name="F.1989.03">#REF!</definedName>
    <definedName name="F.1990.03">#REF!</definedName>
    <definedName name="F.1991.03">#REF!</definedName>
    <definedName name="F.1992.03">#REF!</definedName>
    <definedName name="F.1993.03">#REF!</definedName>
    <definedName name="F.1994.03">#REF!</definedName>
    <definedName name="F.1995.03">#REF!</definedName>
    <definedName name="F.1998.03">#REF!</definedName>
    <definedName name="fcf">#REF!</definedName>
    <definedName name="France_Telecom">#REF!</definedName>
    <definedName name="France_Telecom_Belgium_mobile_interconnect_receipts">#REF!</definedName>
    <definedName name="France_Telecom_Belgium_mobile_interconnect_receipts_from_fixed_operators">#REF!</definedName>
    <definedName name="France_Telecom_Belgium_mobile_interconnect_receipts_from_mobile_operators">#REF!</definedName>
    <definedName name="France_Telecom_Belgium_mobile_other_revenue">#REF!</definedName>
    <definedName name="France_Telecom_Belgium_mobile_retail_and_wholesale_services_revenue">#REF!</definedName>
    <definedName name="France_Telecom_Belgium_mobile_retail_revenue">#REF!</definedName>
    <definedName name="France_Telecom_Belgium_mobile_retail_subscribers">#REF!</definedName>
    <definedName name="France_Telecom_Belgium_mobile_revenue">#REF!</definedName>
    <definedName name="France_Telecom_Belgium_mobile_wholesale_revenue">#REF!</definedName>
    <definedName name="France_Telecom_Belgium_mobile_wholesale_subscribers">#REF!</definedName>
    <definedName name="France_Telecom_Denmark_mobile_interconnect_receipts">#REF!</definedName>
    <definedName name="France_Telecom_Denmark_mobile_interconnect_receipts_from_fixed_operators">#REF!</definedName>
    <definedName name="France_Telecom_Denmark_mobile_interconnect_receipts_from_mobile_operators">#REF!</definedName>
    <definedName name="France_Telecom_Denmark_mobile_other_revenue">#REF!</definedName>
    <definedName name="France_Telecom_Denmark_mobile_retail_and_wholesale_services_revenue">#REF!</definedName>
    <definedName name="France_Telecom_Denmark_mobile_retail_revenue">#REF!</definedName>
    <definedName name="France_Telecom_Denmark_mobile_retail_subscribers">#REF!</definedName>
    <definedName name="France_Telecom_Denmark_mobile_revenue">#REF!</definedName>
    <definedName name="France_Telecom_Denmark_mobile_wholesale_revenue">#REF!</definedName>
    <definedName name="France_Telecom_Denmark_mobile_wholesale_subscribers">#REF!</definedName>
    <definedName name="France_Telecom_Egypt_mobile_interconnect_receipts">#REF!</definedName>
    <definedName name="France_Telecom_Egypt_mobile_interconnect_receipts_from_fixed_operators">#REF!</definedName>
    <definedName name="France_Telecom_Egypt_mobile_interconnect_receipts_from_mobile_operators">#REF!</definedName>
    <definedName name="France_Telecom_Egypt_mobile_other_revenue">#REF!</definedName>
    <definedName name="France_Telecom_Egypt_mobile_retail_and_wholesale_services_revenue">#REF!</definedName>
    <definedName name="France_Telecom_Egypt_mobile_retail_revenue">#REF!</definedName>
    <definedName name="France_Telecom_Egypt_mobile_retail_subscribers">#REF!</definedName>
    <definedName name="France_Telecom_Egypt_mobile_revenue">#REF!</definedName>
    <definedName name="France_Telecom_Egypt_mobile_wholesale_revenue">#REF!</definedName>
    <definedName name="France_Telecom_Egypt_mobile_wholesale_subscribers">#REF!</definedName>
    <definedName name="France_Telecom_France_fixed_broadband_revenue__business">#REF!</definedName>
    <definedName name="France_Telecom_France_fixed_broadband_revenue__residential">#REF!</definedName>
    <definedName name="France_Telecom_France_fixed_broadband_revenue__residential___business">#REF!</definedName>
    <definedName name="France_Telecom_France_fixed_interconnect_receipts">#REF!</definedName>
    <definedName name="France_Telecom_France_fixed_interconnect_receipts_from_fixed_operators">#REF!</definedName>
    <definedName name="France_Telecom_France_fixed_interconnect_receipts_from_mobile_operators">#REF!</definedName>
    <definedName name="France_Telecom_France_fixed_other_revenue">#REF!</definedName>
    <definedName name="France_Telecom_France_fixed_retail_and_wholesale_services_revenue">#REF!</definedName>
    <definedName name="France_Telecom_France_fixed_retail_broadband_business_sites">#REF!</definedName>
    <definedName name="France_Telecom_France_fixed_retail_broadband_homes">#REF!</definedName>
    <definedName name="France_Telecom_France_fixed_retail_broadband_sites__homes_and_businesses">#REF!</definedName>
    <definedName name="France_Telecom_France_fixed_retail_business_sites">#REF!</definedName>
    <definedName name="France_Telecom_France_fixed_retail_homes">#REF!</definedName>
    <definedName name="France_Telecom_France_fixed_retail_lines__business">#REF!</definedName>
    <definedName name="France_Telecom_France_fixed_retail_lines__ISDN">#REF!</definedName>
    <definedName name="France_Telecom_France_fixed_retail_lines__PSTN">#REF!</definedName>
    <definedName name="France_Telecom_France_fixed_retail_lines__PSTN___ISDN">#REF!</definedName>
    <definedName name="France_Telecom_France_fixed_retail_lines__residential">#REF!</definedName>
    <definedName name="France_Telecom_France_fixed_retail_lines__residential___business">#REF!</definedName>
    <definedName name="France_Telecom_France_fixed_retail_revenue__business">#REF!</definedName>
    <definedName name="France_Telecom_France_fixed_retail_revenue__residential">#REF!</definedName>
    <definedName name="France_Telecom_France_fixed_retail_revenue__residential___business">#REF!</definedName>
    <definedName name="France_Telecom_France_fixed_revenue">#REF!</definedName>
    <definedName name="France_Telecom_France_fixed_wholesale_and_interconnect_services_revenue">#REF!</definedName>
    <definedName name="France_Telecom_France_fixed_wholesale_broadband_business_sites">#REF!</definedName>
    <definedName name="France_Telecom_France_fixed_wholesale_broadband_homes">#REF!</definedName>
    <definedName name="France_Telecom_France_fixed_wholesale_broadband_sites__homes_and_businesses">#REF!</definedName>
    <definedName name="France_Telecom_France_fixed_wholesale_business_sites">#REF!</definedName>
    <definedName name="France_Telecom_France_fixed_wholesale_homes">#REF!</definedName>
    <definedName name="France_Telecom_France_fixed_wholesale_lines__business">#REF!</definedName>
    <definedName name="France_Telecom_France_fixed_wholesale_lines__ISDN">#REF!</definedName>
    <definedName name="France_Telecom_France_fixed_wholesale_lines__PSTN">#REF!</definedName>
    <definedName name="France_Telecom_France_fixed_wholesale_lines__PSTN___ISDN">#REF!</definedName>
    <definedName name="France_Telecom_France_fixed_wholesale_lines__residential">#REF!</definedName>
    <definedName name="France_Telecom_France_fixed_wholesale_lines__residential___business">#REF!</definedName>
    <definedName name="France_Telecom_France_fixed_wholesale_revenue">#REF!</definedName>
    <definedName name="France_Telecom_France_mobile_interconnect_receipts">#REF!</definedName>
    <definedName name="France_Telecom_France_mobile_interconnect_receipts_from_fixed_operators">#REF!</definedName>
    <definedName name="France_Telecom_France_mobile_interconnect_receipts_from_mobile_operators">#REF!</definedName>
    <definedName name="France_Telecom_France_mobile_other_revenue">#REF!</definedName>
    <definedName name="France_Telecom_France_mobile_retail_and_wholesale_services_revenue">#REF!</definedName>
    <definedName name="France_Telecom_France_mobile_retail_revenue">#REF!</definedName>
    <definedName name="France_Telecom_France_mobile_retail_subscribers">#REF!</definedName>
    <definedName name="France_Telecom_France_mobile_revenue">#REF!</definedName>
    <definedName name="France_Telecom_France_mobile_wholesale_revenue">#REF!</definedName>
    <definedName name="France_Telecom_France_mobile_wholesale_subscribers">#REF!</definedName>
    <definedName name="France_Telecom_Netherlands_mobile_interconnect_receipts">#REF!</definedName>
    <definedName name="France_Telecom_Netherlands_mobile_interconnect_receipts_from_fixed_operators">#REF!</definedName>
    <definedName name="France_Telecom_Netherlands_mobile_interconnect_receipts_from_mobile_operators">#REF!</definedName>
    <definedName name="France_Telecom_Netherlands_mobile_other_revenue">#REF!</definedName>
    <definedName name="France_Telecom_Netherlands_mobile_retail_and_wholesale_services_revenue">#REF!</definedName>
    <definedName name="France_Telecom_Netherlands_mobile_retail_revenue">#REF!</definedName>
    <definedName name="France_Telecom_Netherlands_mobile_retail_subscribers">#REF!</definedName>
    <definedName name="France_Telecom_Netherlands_mobile_revenue">#REF!</definedName>
    <definedName name="France_Telecom_Netherlands_mobile_wholesale_revenue">#REF!</definedName>
    <definedName name="France_Telecom_Netherlands_mobile_wholesale_subscribers">#REF!</definedName>
    <definedName name="France_Telecom_Poland_fixed_broadband_revenue__business">#REF!</definedName>
    <definedName name="France_Telecom_Poland_fixed_broadband_revenue__residential">#REF!</definedName>
    <definedName name="France_Telecom_Poland_fixed_broadband_revenue__residential___business">#REF!</definedName>
    <definedName name="France_Telecom_Poland_fixed_interconnect_receipts">#REF!</definedName>
    <definedName name="France_Telecom_Poland_fixed_interconnect_receipts_from_fixed_operators">#REF!</definedName>
    <definedName name="France_Telecom_Poland_fixed_interconnect_receipts_from_mobile_operators">#REF!</definedName>
    <definedName name="France_Telecom_Poland_fixed_other_revenue">#REF!</definedName>
    <definedName name="France_Telecom_Poland_fixed_retail_and_wholesale_services_revenue">#REF!</definedName>
    <definedName name="France_Telecom_Poland_fixed_retail_broadband_business_sites">#REF!</definedName>
    <definedName name="France_Telecom_Poland_fixed_retail_broadband_homes">#REF!</definedName>
    <definedName name="France_Telecom_Poland_fixed_retail_broadband_sites__homes_and_businesses">#REF!</definedName>
    <definedName name="France_Telecom_Poland_fixed_retail_business_sites">#REF!</definedName>
    <definedName name="France_Telecom_Poland_fixed_retail_homes">#REF!</definedName>
    <definedName name="France_Telecom_Poland_fixed_retail_lines__business">#REF!</definedName>
    <definedName name="France_Telecom_Poland_fixed_retail_lines__ISDN">#REF!</definedName>
    <definedName name="France_Telecom_Poland_fixed_retail_lines__PSTN">#REF!</definedName>
    <definedName name="France_Telecom_Poland_fixed_retail_lines__PSTN___ISDN">#REF!</definedName>
    <definedName name="France_Telecom_Poland_fixed_retail_lines__residential">#REF!</definedName>
    <definedName name="France_Telecom_Poland_fixed_retail_lines__residential___business">#REF!</definedName>
    <definedName name="France_Telecom_Poland_fixed_retail_revenue__business">#REF!</definedName>
    <definedName name="France_Telecom_Poland_fixed_retail_revenue__residential">#REF!</definedName>
    <definedName name="France_Telecom_Poland_fixed_retail_revenue__residential___business">#REF!</definedName>
    <definedName name="France_Telecom_Poland_fixed_revenue">#REF!</definedName>
    <definedName name="France_Telecom_Poland_fixed_wholesale_and_interconnect_services_revenue">#REF!</definedName>
    <definedName name="France_Telecom_Poland_fixed_wholesale_broadband_business_sites">#REF!</definedName>
    <definedName name="France_Telecom_Poland_fixed_wholesale_broadband_homes">#REF!</definedName>
    <definedName name="France_Telecom_Poland_fixed_wholesale_broadband_sites__homes_and_businesses">#REF!</definedName>
    <definedName name="France_Telecom_Poland_fixed_wholesale_business_sites">#REF!</definedName>
    <definedName name="France_Telecom_Poland_fixed_wholesale_homes">#REF!</definedName>
    <definedName name="France_Telecom_Poland_fixed_wholesale_lines__business">#REF!</definedName>
    <definedName name="France_Telecom_Poland_fixed_wholesale_lines__ISDN">#REF!</definedName>
    <definedName name="France_Telecom_Poland_fixed_wholesale_lines__PSTN">#REF!</definedName>
    <definedName name="France_Telecom_Poland_fixed_wholesale_lines__PSTN___ISDN">#REF!</definedName>
    <definedName name="France_Telecom_Poland_fixed_wholesale_lines__residential">#REF!</definedName>
    <definedName name="France_Telecom_Poland_fixed_wholesale_lines__residential___business">#REF!</definedName>
    <definedName name="France_Telecom_Poland_fixed_wholesale_revenue">#REF!</definedName>
    <definedName name="France_Telecom_Poland_mobile_interconnect_receipts">#REF!</definedName>
    <definedName name="France_Telecom_Poland_mobile_interconnect_receipts_from_fixed_operators">#REF!</definedName>
    <definedName name="France_Telecom_Poland_mobile_interconnect_receipts_from_mobile_operators">#REF!</definedName>
    <definedName name="France_Telecom_Poland_mobile_other_revenue">#REF!</definedName>
    <definedName name="France_Telecom_Poland_mobile_retail_and_wholesale_services_revenue">#REF!</definedName>
    <definedName name="France_Telecom_Poland_mobile_retail_revenue">#REF!</definedName>
    <definedName name="France_Telecom_Poland_mobile_retail_subscribers">#REF!</definedName>
    <definedName name="France_Telecom_Poland_mobile_revenue">#REF!</definedName>
    <definedName name="France_Telecom_Poland_mobile_wholesale_revenue">#REF!</definedName>
    <definedName name="France_Telecom_Poland_mobile_wholesale_subscribers">#REF!</definedName>
    <definedName name="France_Telecom_Romania_mobile_interconnect_receipts">#REF!</definedName>
    <definedName name="France_Telecom_Romania_mobile_interconnect_receipts_from_fixed_operators">#REF!</definedName>
    <definedName name="France_Telecom_Romania_mobile_interconnect_receipts_from_mobile_operators">#REF!</definedName>
    <definedName name="France_Telecom_Romania_mobile_other_revenue">#REF!</definedName>
    <definedName name="France_Telecom_Romania_mobile_retail_and_wholesale_services_revenue">#REF!</definedName>
    <definedName name="France_Telecom_Romania_mobile_retail_revenue">#REF!</definedName>
    <definedName name="France_Telecom_Romania_mobile_retail_subscribers">#REF!</definedName>
    <definedName name="France_Telecom_Romania_mobile_revenue">#REF!</definedName>
    <definedName name="France_Telecom_Romania_mobile_wholesale_revenue">#REF!</definedName>
    <definedName name="France_Telecom_Romania_mobile_wholesale_subscribers">#REF!</definedName>
    <definedName name="France_Telecom_Slovakia_mobile_interconnect_receipts">#REF!</definedName>
    <definedName name="France_Telecom_Slovakia_mobile_interconnect_receipts_from_fixed_operators">#REF!</definedName>
    <definedName name="France_Telecom_Slovakia_mobile_interconnect_receipts_from_mobile_operators">#REF!</definedName>
    <definedName name="France_Telecom_Slovakia_mobile_other_revenue">#REF!</definedName>
    <definedName name="France_Telecom_Slovakia_mobile_retail_and_wholesale_services_revenue">#REF!</definedName>
    <definedName name="France_Telecom_Slovakia_mobile_retail_revenue">#REF!</definedName>
    <definedName name="France_Telecom_Slovakia_mobile_retail_subscribers">#REF!</definedName>
    <definedName name="France_Telecom_Slovakia_mobile_revenue">#REF!</definedName>
    <definedName name="France_Telecom_Slovakia_mobile_wholesale_revenue">#REF!</definedName>
    <definedName name="France_Telecom_Slovakia_mobile_wholesale_subscribers">#REF!</definedName>
    <definedName name="France_Telecom_Switzerland_mobile_interconnect_receipts">#REF!</definedName>
    <definedName name="France_Telecom_Switzerland_mobile_interconnect_receipts_from_fixed_operators">#REF!</definedName>
    <definedName name="France_Telecom_Switzerland_mobile_interconnect_receipts_from_mobile_operators">#REF!</definedName>
    <definedName name="France_Telecom_Switzerland_mobile_other_revenue">#REF!</definedName>
    <definedName name="France_Telecom_Switzerland_mobile_retail_and_wholesale_services_revenue">#REF!</definedName>
    <definedName name="France_Telecom_Switzerland_mobile_retail_revenue">#REF!</definedName>
    <definedName name="France_Telecom_Switzerland_mobile_retail_subscribers">#REF!</definedName>
    <definedName name="France_Telecom_Switzerland_mobile_revenue">#REF!</definedName>
    <definedName name="France_Telecom_Switzerland_mobile_wholesale_revenue">#REF!</definedName>
    <definedName name="France_Telecom_Switzerland_mobile_wholesale_subscribers">#REF!</definedName>
    <definedName name="France_Telecom2">#REF!</definedName>
    <definedName name="France_TelecomFrancefixedretail_revenue__residential">#REF!</definedName>
    <definedName name="FT">#REF!</definedName>
    <definedName name="g_Cumulative_Net_Income" hidden="1">[1]Results!$P$157:$AH$192</definedName>
    <definedName name="g_Discounted_Cash" hidden="1">[1]Results!$A$341:$M$376</definedName>
    <definedName name="g_Expenses" hidden="1">[1]Results!$P$203:$AH$238</definedName>
    <definedName name="g_IRR" hidden="1">[1]Results!$P$65:$AH$100</definedName>
    <definedName name="g_Net_Income" hidden="1">[1]Results!$A$157:$M$192</definedName>
    <definedName name="g_NPV" hidden="1">[1]Results!$A$65:$M$100</definedName>
    <definedName name="g_Service_Revenue" hidden="1">[1]Results!$A$203:$M$238</definedName>
    <definedName name="g_User_defined_1" hidden="1">[1]Results!$A$249:$M$284</definedName>
    <definedName name="g_User_defined_2" hidden="1">[1]Results!$P$249:$AH$284</definedName>
    <definedName name="g_User_defined_3" hidden="1">[1]Results!$A$295:$M$330</definedName>
    <definedName name="g_User_defined_4" hidden="1">[1]Results!$P$295:$AH$330</definedName>
    <definedName name="GBPUSD">[7]Summary!$C$84</definedName>
    <definedName name="gdps">#REF!</definedName>
    <definedName name="GOS" hidden="1">[1]Equipment!$E$23:$DT$23</definedName>
    <definedName name="GOSInput" hidden="1">'[1]Capex Input'!$E$36:$DT$36</definedName>
    <definedName name="Graphs" hidden="1">[1]Results!$A$49:$A$62</definedName>
    <definedName name="GrossAddDual" hidden="1">[1]Model!$E$104:$DT$104</definedName>
    <definedName name="GrossAddFromHSD" hidden="1">[1]Model!$E$102:$DT$102</definedName>
    <definedName name="GrossAddVoiceOnly" hidden="1">[1]Model!$E$100:$DT$100</definedName>
    <definedName name="GrossLineAdds" hidden="1">[1]Model!$E$107:$DT$107</definedName>
    <definedName name="GSR008Data" hidden="1">[1]Equipment!$E$143:$DT$143</definedName>
    <definedName name="GSR012Data" hidden="1">[1]Equipment!$E$191:$DT$191</definedName>
    <definedName name="GSR1OC12_CMTS" hidden="1">[1]Equipment!$E$131:$DT$131</definedName>
    <definedName name="GSR1OC12Data_CMTS" hidden="1">[1]Equipment!$E$140:$DT$140</definedName>
    <definedName name="GSR4OC12_DC" hidden="1">[1]Equipment!$E$179:$DT$179</definedName>
    <definedName name="GSR4OC12ATM" hidden="1">[1]Equipment!$E$182:$DT$182</definedName>
    <definedName name="GSR4OC12Data_DC" hidden="1">[1]Equipment!$E$188:$DT$188</definedName>
    <definedName name="GSR4OC3_CMTS" hidden="1">[1]Equipment!$E$128:$DT$128</definedName>
    <definedName name="GSR4OC3Data_CMTS" hidden="1">[1]Equipment!$E$137:$DT$137</definedName>
    <definedName name="GSRCapex" hidden="1">[1]Capex!$E$266:$DT$266</definedName>
    <definedName name="GSRLife" hidden="1">[1]Capex!$C$102</definedName>
    <definedName name="GSRMaint" hidden="1">[1]Capex!$E$291:$DT$291</definedName>
    <definedName name="h.IsCSM" hidden="1">"CSModel"</definedName>
    <definedName name="HHP" hidden="1">[1]Capex!$E$12:$DT$12</definedName>
    <definedName name="HHPInput" hidden="1">[1]Model!$E$71:$DT$71</definedName>
    <definedName name="HTML_CodePage" hidden="1">1252</definedName>
    <definedName name="HTML_Description" hidden="1">"IBN Products"</definedName>
    <definedName name="HTML_Email" hidden="1">""</definedName>
    <definedName name="HTML_Header" hidden="1">"Edit"</definedName>
    <definedName name="HTML_LastUpdate" hidden="1">"24/05/97"</definedName>
    <definedName name="HTML_LineAfter" hidden="1">FALSE</definedName>
    <definedName name="HTML_LineBefore" hidden="1">TRUE</definedName>
    <definedName name="HTML_Name" hidden="1">"Mike Bibbings"</definedName>
    <definedName name="HTML_OBDlg2" hidden="1">TRUE</definedName>
    <definedName name="HTML_OBDlg4" hidden="1">TRUE</definedName>
    <definedName name="HTML_OS" hidden="1">0</definedName>
    <definedName name="HTML_PathFile" hidden="1">"C:\My Documents\mmelHTML.htm"</definedName>
    <definedName name="HTML_Title" hidden="1">"Master Edit List"</definedName>
    <definedName name="HubSize" hidden="1">[1]Equipment!$E$17:$DT$17</definedName>
    <definedName name="HubSizeInput" hidden="1">'[1]Capex Input'!$E$27:$DT$27</definedName>
    <definedName name="I1.1989.09">[8]cuslink!#REF!</definedName>
    <definedName name="I1.1996.09">#REF!</definedName>
    <definedName name="inccred">#REF!</definedName>
    <definedName name="Income_Statement" hidden="1">'[1]Financial Statements'!$A$31:$A$65</definedName>
    <definedName name="income_tax_rate" hidden="1">[1]Model!$E$42</definedName>
    <definedName name="incpenprov">#REF!</definedName>
    <definedName name="increc">#REF!</definedName>
    <definedName name="incstock">#REF!</definedName>
    <definedName name="Intangible_Fixed_Assets">#REF!</definedName>
    <definedName name="InTC">#REF!</definedName>
    <definedName name="investments">#REF!</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SHAREOUTSTANDING" hidden="1">"c83"</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UILDINGS" hidden="1">"c99"</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"c3460"</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EXP_DATE" hidden="1">"c3043"</definedName>
    <definedName name="IQ_CONV_PREMIUM" hidden="1">"c2195"</definedName>
    <definedName name="IQ_CONV_PRICE" hidden="1">"c2193"</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PORT_PCT" hidden="1">"c2541"</definedName>
    <definedName name="IQ_CURRENT_RATIO" hidden="1">"c246"</definedName>
    <definedName name="IQ_CUSIP" hidden="1">"c2245"</definedName>
    <definedName name="IQ_CY">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ILY">500000</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PAYOUT" hidden="1">"c3005"</definedName>
    <definedName name="IQ_DISTRIBUTABLE_CASH_SHARE" hidden="1">"c3003"</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EQ_INC" hidden="1">"c3498"</definedName>
    <definedName name="IQ_EBIT_EQ_INC_EXCL_SBC" hidden="1">"c3502"</definedName>
    <definedName name="IQ_EBIT_EXCL_SBC" hidden="1">"c3082"</definedName>
    <definedName name="IQ_EBIT_INT" hidden="1">"c360"</definedName>
    <definedName name="IQ_EBIT_MARGIN" hidden="1">"c359"</definedName>
    <definedName name="IQ_EBIT_OVER_IE" hidden="1">"c1369"</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ACT_OR_EST" hidden="1">"c2215"</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XCL_SBC" hidden="1">"c3081"</definedName>
    <definedName name="IQ_EBITDA_HIGH_EST" hidden="1">"c370"</definedName>
    <definedName name="IQ_EBITDA_INT" hidden="1">"c373"</definedName>
    <definedName name="IQ_EBITDA_LOW_EST" hidden="1">"c371"</definedName>
    <definedName name="IQ_EBITDA_MARGIN" hidden="1">"c372"</definedName>
    <definedName name="IQ_EBITDA_MEDIAN_EST" hidden="1">"c1663"</definedName>
    <definedName name="IQ_EBITDA_NUM_EST" hidden="1">"c374"</definedName>
    <definedName name="IQ_EBITDA_OVER_TOTAL_IE" hidden="1">"c1371"</definedName>
    <definedName name="IQ_EBITDA_STDDEV_EST" hidden="1">"c375"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EST" hidden="1">"c399"</definedName>
    <definedName name="IQ_EPS_HIGH_EST" hidden="1">"c400"</definedName>
    <definedName name="IQ_EPS_LOW_EST" hidden="1">"c401"</definedName>
    <definedName name="IQ_EPS_MEDIAN_EST" hidden="1">"c1661"</definedName>
    <definedName name="IQ_EPS_NORM" hidden="1">"c1902"</definedName>
    <definedName name="IQ_EPS_NUM_EST" hidden="1">"c402"</definedName>
    <definedName name="IQ_EPS_STDDEV_EST" hidden="1">"c403"</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CURRENCY" hidden="1">"c2140"</definedName>
    <definedName name="IQ_EST_DATE" hidden="1">"c1634"</definedName>
    <definedName name="IQ_EST_EPS_GROWTH_1YR" hidden="1">"c1636"</definedName>
    <definedName name="IQ_EST_EPS_GROWTH_5YR" hidden="1">"c1655"</definedName>
    <definedName name="IQ_EST_EPS_GROWTH_Q_1YR" hidden="1">"c1641"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PAYOUT_RATIO" hidden="1">"c3492"</definedName>
    <definedName name="IQ_FH">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PRICE" hidden="1">"c545"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2000</definedName>
    <definedName name="IQ_LTM_REVENUE_OVER_EMPLOYEES" hidden="1">"c1437"</definedName>
    <definedName name="IQ_LTMMONTH" hidden="1">120000</definedName>
    <definedName name="IQ_MACHINERY" hidden="1">"c711"</definedName>
    <definedName name="IQ_MAINT_CAPEX" hidden="1">"c2947"</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C_RATIO" hidden="1">"c2783"</definedName>
    <definedName name="IQ_MC_STATUTORY_SURPLUS" hidden="1">"c2772"</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NTH">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SFAS" hidden="1">"c795"</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ICE_OVER_BVPS" hidden="1">"c1412"</definedName>
    <definedName name="IQ_PRICE_OVER_LTM_EPS" hidden="1">"c1413"</definedName>
    <definedName name="IQ_PRICE_TARGET" hidden="1">"c82"</definedName>
    <definedName name="IQ_PRICEDATE" hidden="1">"c1069"</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T_DATE_SCHEDULE" hidden="1">"c2483"</definedName>
    <definedName name="IQ_PUT_NOTIFICATION" hidden="1">"c2485"</definedName>
    <definedName name="IQ_PUT_PRICE_SCHEDULE" hidden="1">"c2484"</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UTI" hidden="1">"c1125"</definedName>
    <definedName name="IQ_REVENUE" hidden="1">"c1422"</definedName>
    <definedName name="IQ_REVENUE_ACT_OR_EST" hidden="1">"c2214"</definedName>
    <definedName name="IQ_REVENUE_EST" hidden="1">"c1126"</definedName>
    <definedName name="IQ_REVENUE_HIGH_EST" hidden="1">"c1127"</definedName>
    <definedName name="IQ_REVENUE_LOW_EST" hidden="1">"c1128"</definedName>
    <definedName name="IQ_REVENUE_MEDIAN_EST" hidden="1">"c1662"</definedName>
    <definedName name="IQ_REVENUE_NUM_EST" hidden="1">"c1129"</definedName>
    <definedName name="IQ_REVISION_DATE_" hidden="1">39420.5584027778</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UR_RECEIV" hidden="1">"c1151"</definedName>
    <definedName name="IQ_SECURED_DEBT" hidden="1">"c2546"</definedName>
    <definedName name="IQ_SECURED_DEBT_PCT" hidden="1">"c2547"</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BANK" hidden="1">"c2637"</definedName>
    <definedName name="IQ_SP_BANK_ACTION" hidden="1">"c2636"</definedName>
    <definedName name="IQ_SP_BANK_DATE" hidden="1">"c2635"</definedName>
    <definedName name="IQ_SP_DATE" hidden="1">"c2172"</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STDDEV" hidden="1">"c1654"</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50000</definedName>
    <definedName name="IQ_WEIGHTED_AVG_PRICE" hidden="1">"c1334"</definedName>
    <definedName name="IQ_WIP_INV" hidden="1">"c1335"</definedName>
    <definedName name="IQ_WORKING_CAP" hidden="1">"c3494"</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ssmin">#REF!</definedName>
    <definedName name="issord">#REF!</definedName>
    <definedName name="ITC">#REF!</definedName>
    <definedName name="k_kost">'[2]K-kost'!$A$9:$J$37</definedName>
    <definedName name="k_kost_akk">'[2]K-kost'!$O$8:$AA$42</definedName>
    <definedName name="kk" hidden="1">#REF!</definedName>
    <definedName name="Kopieringsområde">'[9]Business Sol'!$A$7:$K$77</definedName>
    <definedName name="LATASize" hidden="1">[1]Equipment!$E$149:$DT$149</definedName>
    <definedName name="LATASizeInput" hidden="1">'[1]Capex Input'!$E$28:$DT$28</definedName>
    <definedName name="Leased">#REF!</definedName>
    <definedName name="LegalOk" hidden="1">"No"</definedName>
    <definedName name="limcount" hidden="1">1</definedName>
    <definedName name="Linerent">#REF!</definedName>
    <definedName name="Lines_per_100_pop">#REF!</definedName>
    <definedName name="LinesPerFN" hidden="1">[1]Equipment!$E$15:$DT$15</definedName>
    <definedName name="LinesPerSubInput" hidden="1">[1]Model!$E$77:$DT$77</definedName>
    <definedName name="lll" localSheetId="0" hidden="1">{#N/A,#N/A,FALSE,"Statement of Ops";#N/A,#N/A,FALSE,"Trend Ops"}</definedName>
    <definedName name="lll" hidden="1">{#N/A,#N/A,FALSE,"Statement of Ops";#N/A,#N/A,FALSE,"Trend Ops"}</definedName>
    <definedName name="llll" localSheetId="0" hidden="1">{#N/A,#N/A,FALSE,"Statement of Ops";#N/A,#N/A,FALSE,"Trend Ops"}</definedName>
    <definedName name="llll" hidden="1">{#N/A,#N/A,FALSE,"Statement of Ops";#N/A,#N/A,FALSE,"Trend Ops"}</definedName>
    <definedName name="lllll" localSheetId="0" hidden="1">{#N/A,#N/A,FALSE,"Statement of Ops";#N/A,#N/A,FALSE,"Trend Ops"}</definedName>
    <definedName name="lllll" hidden="1">{#N/A,#N/A,FALSE,"Statement of Ops";#N/A,#N/A,FALSE,"Trend Ops"}</definedName>
    <definedName name="LNPPct" hidden="1">[1]Model!$E$120:$DT$120</definedName>
    <definedName name="LookupAppRTU" hidden="1">'[1]BTS Tables'!$B$30:$B$81</definedName>
    <definedName name="LookupCPS" hidden="1">'[1]BTS Tables'!$A$3:$A$27</definedName>
    <definedName name="LookupLines" hidden="1">'[1]BTS Tables'!$A$30:$A$81</definedName>
    <definedName name="LookupPlatRTU" hidden="1">'[1]BTS Tables'!$B$3:$B$27</definedName>
    <definedName name="Lösenord">#REF!</definedName>
    <definedName name="ltd">#REF!</definedName>
    <definedName name="måned">[10]Grunndata!$B$3:$C$14</definedName>
    <definedName name="MC16Data" hidden="1">[1]Equipment!$E$98:$DT$98</definedName>
    <definedName name="MC28Data" hidden="1">[1]Equipment!$E$95:$DT$95</definedName>
    <definedName name="md" hidden="1">[1]Model!$E$52</definedName>
    <definedName name="MGX" hidden="1">[1]Equipment!$E$161:$DT$161</definedName>
    <definedName name="MGXCapex" hidden="1">[1]Capex!$E$267:$DT$267</definedName>
    <definedName name="MGXLife" hidden="1">[1]Capex!$C$108</definedName>
    <definedName name="MGXMaint" hidden="1">[1]Capex!$E$292:$DT$292</definedName>
    <definedName name="minority">#REF!</definedName>
    <definedName name="MinPerLineLocal" hidden="1">[1]Model!$E$111:$DT$111</definedName>
    <definedName name="MinPerLineToll" hidden="1">[1]Model!$E$112:$DT$112</definedName>
    <definedName name="Mobile">#REF!</definedName>
    <definedName name="mv" hidden="1">[1]Model!$E$51</definedName>
    <definedName name="Net_Assets">#REF!</definedName>
    <definedName name="Net_Profit_SGW_Adjusted_">#REF!</definedName>
    <definedName name="netint">#REF!</definedName>
    <definedName name="netprofit">#REF!</definedName>
    <definedName name="ni_divs">#REF!</definedName>
    <definedName name="nidivs">#REF!</definedName>
    <definedName name="oldcueps">#REF!</definedName>
    <definedName name="OnNetMaxInput" hidden="1">'[1]Capex Input'!$E$29:$DT$29</definedName>
    <definedName name="Operations" hidden="1">[1]Model!$A$269:$A$412</definedName>
    <definedName name="oppro">#REF!</definedName>
    <definedName name="opprofit">#REF!</definedName>
    <definedName name="Oss">#REF!</definedName>
    <definedName name="OSSInput" hidden="1">'[1]Capex Input'!$E$144:$DT$144</definedName>
    <definedName name="Other_Long_Term_Liabilities">#REF!</definedName>
    <definedName name="Otherinc">#REF!</definedName>
    <definedName name="Otherop">#REF!</definedName>
    <definedName name="Otheropcf">#REF!</definedName>
    <definedName name="ownwork">#REF!</definedName>
    <definedName name="p" hidden="1">[1]Model!$E$53</definedName>
    <definedName name="pbt">#REF!</definedName>
    <definedName name="PentrData" hidden="1">[1]Equipment!$E$4:$DT$4</definedName>
    <definedName name="PentrDataInput" hidden="1">[1]Model!$E$76:$DT$76</definedName>
    <definedName name="PentrVoice" hidden="1">[1]Equipment!$E$2:$DT$2</definedName>
    <definedName name="PentrVoiceInput" hidden="1">[1]Model!$E$75:$DT$75</definedName>
    <definedName name="Period">[5]Front!$E$12</definedName>
    <definedName name="Peru">#REF!</definedName>
    <definedName name="PHSInput" hidden="1">'[1]Capex Input'!$E$35:$DT$35</definedName>
    <definedName name="PlatformInput" hidden="1">'[1]Capex Input'!$E$47:$DT$47</definedName>
    <definedName name="_xlnm.Print_Area" localSheetId="0">#REF!</definedName>
    <definedName name="_xlnm.Print_Area">#N/A</definedName>
    <definedName name="_xlnm.Print_Titles" localSheetId="0">#REF!</definedName>
    <definedName name="_xlnm.Print_Titles">#N/A</definedName>
    <definedName name="proforma" localSheetId="0">[11]proforma!#REF!</definedName>
    <definedName name="proforma">[11]proforma!#REF!</definedName>
    <definedName name="ProjectName" localSheetId="0">{"Client Name or Project Name"}</definedName>
    <definedName name="ProjectName">{"Client Name or Project Name"}</definedName>
    <definedName name="PT_Portugal_fixed_export">#REF!</definedName>
    <definedName name="PT_Portugal_mobile_export">#REF!</definedName>
    <definedName name="Purchase_of_tangible_fixed_assets">#REF!</definedName>
    <definedName name="purfai">#REF!</definedName>
    <definedName name="pursub">#REF!</definedName>
    <definedName name="purtfa">#REF!</definedName>
    <definedName name="Q1.1996.06">#REF!</definedName>
    <definedName name="Q1_Account">#REF!</definedName>
    <definedName name="Q1_Coding">#REF!</definedName>
    <definedName name="Q1_Data">#REF!</definedName>
    <definedName name="Q1_Period">#REF!</definedName>
    <definedName name="Q1_TP">#REF!</definedName>
    <definedName name="Q2.1996.09">#REF!</definedName>
    <definedName name="Q2_Account">#REF!</definedName>
    <definedName name="Q2_Coding">#REF!</definedName>
    <definedName name="Q2_Data">#REF!</definedName>
    <definedName name="Q2_Period">#REF!</definedName>
    <definedName name="Q2_TP">#REF!</definedName>
    <definedName name="Q3.1996.12">#REF!</definedName>
    <definedName name="Q3_Account">#REF!</definedName>
    <definedName name="Q3_Coding">#REF!</definedName>
    <definedName name="Q3_Data">#REF!</definedName>
    <definedName name="Q3_Period">#REF!</definedName>
    <definedName name="Q3_TP">#REF!</definedName>
    <definedName name="Q4_Account">#REF!</definedName>
    <definedName name="Q4_Coding">#REF!</definedName>
    <definedName name="Q4_Data">#REF!</definedName>
    <definedName name="Q4_Period">#REF!</definedName>
    <definedName name="Q4_TP">#REF!</definedName>
    <definedName name="QC用労働時間有">'[12]03FY 2nd Hafl Latest Estimate'!$A$1:$A$2638</definedName>
    <definedName name="QC用労働時間無">'[12]03FY 2nd Hafl Latest Estimate'!$A$1:$D$618</definedName>
    <definedName name="RapportTyp">#REF!</definedName>
    <definedName name="Redundancy">#REF!</definedName>
    <definedName name="RedundantEdgeInput" hidden="1">'[1]Capex Input'!$E$51:$DT$51</definedName>
    <definedName name="RedundantGWInput" hidden="1">'[1]Capex Input'!$E$53:$DT$53</definedName>
    <definedName name="RedundNInput" hidden="1">'[1]Capex Input'!$E$58:$DT$58</definedName>
    <definedName name="relacao">#REF!</definedName>
    <definedName name="Repdate1">#REF!</definedName>
    <definedName name="Repdate2">#REF!</definedName>
    <definedName name="res_2002">#REF!</definedName>
    <definedName name="res_2002_a">#REF!</definedName>
    <definedName name="Revenue">#REF!</definedName>
    <definedName name="RevFixed_05">[13]TPSA_Model!$O$468</definedName>
    <definedName name="RF" hidden="1">[1]Equipment!$E$92:$DT$92</definedName>
    <definedName name="RFData" hidden="1">[1]Equipment!$E$110:$DT$110</definedName>
    <definedName name="rngColData">'[14]RevCost Report'!$G$1:$Y$65536,'[14]RevCost Report'!$AA$1:$BV$65536</definedName>
    <definedName name="rngColHidden">'[14]RevCost Report'!$A$1:$B$65536,'[14]RevCost Report'!$D$1:$D$65536</definedName>
    <definedName name="rngHideMissingColumns">FALSE</definedName>
    <definedName name="rngHideMissingRows">FALSE</definedName>
    <definedName name="rngRowHidden">'[14]RevCost Report'!$A$4:$IV$5,'[14]RevCost Report'!$A$11:$IV$17</definedName>
    <definedName name="RoutesPerLATA" hidden="1">[1]Model!$E$114:$DT$114</definedName>
    <definedName name="Rpt_Month">[15]★ﾒﾆｭｰ!$I$31</definedName>
    <definedName name="Rpt_Year">[15]★ﾒﾆｭｰ!$I$30</definedName>
    <definedName name="salefa">#REF!</definedName>
    <definedName name="SalvagePct" hidden="1">[1]Model!$E$38</definedName>
    <definedName name="SampleInput" hidden="1">'[1]Capex Input'!$E$34:$DT$34</definedName>
    <definedName name="SAPBEXhrIndnt" hidden="1">1</definedName>
    <definedName name="SAPBEXrevision" hidden="1">0</definedName>
    <definedName name="SAPBEXsysID" hidden="1">"UBP"</definedName>
    <definedName name="SAPBEXwbID" hidden="1">"46ZQZIX9P9TMSSGKMZCTXHTXP"</definedName>
    <definedName name="sdsdsd" localSheetId="0" hidden="1">{#N/A,#N/A,FALSE,"Statement of Ops";#N/A,#N/A,FALSE,"Trend Ops"}</definedName>
    <definedName name="sdsdsd" hidden="1">{#N/A,#N/A,FALSE,"Statement of Ops";#N/A,#N/A,FALSE,"Trend Ops"}</definedName>
    <definedName name="SecretArchiveNumber" hidden="1">1</definedName>
    <definedName name="Select_Inc_Exp">[16]Ref!$B$12</definedName>
    <definedName name="sencount" localSheetId="0" hidden="1">2</definedName>
    <definedName name="sencount" hidden="1">1</definedName>
    <definedName name="ServerHWCapex" hidden="1">[1]Capex!$E$268:$DT$268</definedName>
    <definedName name="ServerHWMaint" hidden="1">[1]Capex!$E$293:$DT$293</definedName>
    <definedName name="Services_and_Revenue" hidden="1">[1]Model!$A$126:$A$195</definedName>
    <definedName name="sfsdf" localSheetId="0" hidden="1">{#N/A,#N/A,FALSE,"Statement of Ops";#N/A,#N/A,FALSE,"Trend Ops"}</definedName>
    <definedName name="sfsdf" hidden="1">{#N/A,#N/A,FALSE,"Statement of Ops";#N/A,#N/A,FALSE,"Trend Ops"}</definedName>
    <definedName name="sharecap">#REF!</definedName>
    <definedName name="Sheetname_Instructions">[16]Ref!#REF!</definedName>
    <definedName name="show_base">[16]WaterFall_Prep!$U$1</definedName>
    <definedName name="show_newbase">[16]WaterFall_Prep!$W$1</definedName>
    <definedName name="show_pctchange">[16]WaterFall_Prep!$Y$1</definedName>
    <definedName name="solver_cvg" hidden="1">0.001</definedName>
    <definedName name="solver_drv" hidden="1">1</definedName>
    <definedName name="solver_est" hidden="1">1</definedName>
    <definedName name="solver_itr" hidden="1">100</definedName>
    <definedName name="solver_lin" hidden="1">2</definedName>
    <definedName name="solver_neg" hidden="1">2</definedName>
    <definedName name="solver_num" hidden="1">0</definedName>
    <definedName name="solver_nwt" hidden="1">1</definedName>
    <definedName name="solver_pre" hidden="1">0.000001</definedName>
    <definedName name="solver_scl" hidden="1">2</definedName>
    <definedName name="solver_sho" hidden="1">2</definedName>
    <definedName name="solver_tim" hidden="1">100</definedName>
    <definedName name="solver_tol" hidden="1">0.05</definedName>
    <definedName name="solver_typ" hidden="1">1</definedName>
    <definedName name="solver_val" hidden="1">0</definedName>
    <definedName name="SPAPrint">[17]SPA!$A$1:$AD$48,[17]SPA!$A$90:$AD$137</definedName>
    <definedName name="Staff">#REF!</definedName>
    <definedName name="staffcosts">#REF!</definedName>
    <definedName name="std">#REF!</definedName>
    <definedName name="stocks">#REF!</definedName>
    <definedName name="subs1" localSheetId="0" hidden="1">{"Monthly Rev",#N/A,FALSE,"DetRev";"Monthly Tech",#N/A,FALSE,"DetTech";"Monthly CSR",#N/A,FALSE,"DetCSR";"Monthly Mrkt",#N/A,FALSE,"DetMrkt";"Monthly Online",#N/A,FALSE,"DetOnline";"Monthly AdSales",#N/A,FALSE,"DetAdSales";"Monthly LO",#N/A,FALSE,"DETLO";"Monthly Admin",#N/A,FALSE,"DetAdmin";"Monthly Prod",#N/A,FALSE,"DetProd";"Headcount Monthly",#N/A,FALSE,"Headcount"}</definedName>
    <definedName name="subs1" hidden="1">{"Monthly Rev",#N/A,FALSE,"DetRev";"Monthly Tech",#N/A,FALSE,"DetTech";"Monthly CSR",#N/A,FALSE,"DetCSR";"Monthly Mrkt",#N/A,FALSE,"DetMrkt";"Monthly Online",#N/A,FALSE,"DetOnline";"Monthly AdSales",#N/A,FALSE,"DetAdSales";"Monthly LO",#N/A,FALSE,"DETLO";"Monthly Admin",#N/A,FALSE,"DetAdmin";"Monthly Prod",#N/A,FALSE,"DetProd";"Headcount Monthly",#N/A,FALSE,"Headcount"}</definedName>
    <definedName name="subtotal">[18]基礎ﾃﾞｰﾀ!#REF!</definedName>
    <definedName name="sweden_telenor_mobile_export">[3]IM!#REF!</definedName>
    <definedName name="TA">[12]Sheet3!$A$1:$E$196</definedName>
    <definedName name="Tangible_Fixed_Assets">#REF!</definedName>
    <definedName name="tax">#REF!</definedName>
    <definedName name="taxpaid">#REF!</definedName>
    <definedName name="telcopay">#REF!</definedName>
    <definedName name="Telesp">#REF!</definedName>
    <definedName name="Template.WIRE">"DBACCESS"</definedName>
    <definedName name="tfa">#REF!</definedName>
    <definedName name="TI_Italy_fixed_export">#REF!</definedName>
    <definedName name="Total_lines">#REF!</definedName>
    <definedName name="Trace">FALSE</definedName>
    <definedName name="Transaction_Type">[5]Front!$E$20</definedName>
    <definedName name="Trend_Start">[15]★ﾒﾆｭｰ!$L$31</definedName>
    <definedName name="uBR10Data" hidden="1">[1]Equipment!$E$100:$DT$100</definedName>
    <definedName name="uBR1OC12" hidden="1">[1]Equipment!$E$91:$DT$91</definedName>
    <definedName name="uBR1OC12Data" hidden="1">[1]Equipment!$E$109:$DT$109</definedName>
    <definedName name="uBR1OC3" hidden="1">[1]Equipment!$E$88:$DT$88</definedName>
    <definedName name="uBR1OC3Data" hidden="1">[1]Equipment!$E$106:$DT$106</definedName>
    <definedName name="uBR7Data" hidden="1">[1]Equipment!$E$103:$DT$103</definedName>
    <definedName name="uBRCapex" hidden="1">[1]Capex!$E$265:$DT$265</definedName>
    <definedName name="uBRLife" hidden="1">[1]Capex!$C$92</definedName>
    <definedName name="uBRMaint" hidden="1">[1]Capex!$E$290:$DT$290</definedName>
    <definedName name="UK_population__ms">#REF!</definedName>
    <definedName name="UKPrint">[17]UK!$A$90:$AD$137,[17]UK!$A$1:$AD$48</definedName>
    <definedName name="unadjusted">#REF!</definedName>
    <definedName name="uOne" hidden="1">[1]Equipment!$E$259:$DT$259</definedName>
    <definedName name="UpgradeVersion">"v2.35"</definedName>
    <definedName name="UPIBVPrint">[17]UPIBV!$A$1:$AD$48,[17]UPIBV!$A$90:$AD$137</definedName>
    <definedName name="UPIOPrint">[17]UPIO!$A$90:$AD$137,[17]UPIO!$A$1:$AD$48</definedName>
    <definedName name="UPVPPrint">[17]UPVP!$A$1:$AD$48,[17]UPVP!$A$90:$AD$137</definedName>
    <definedName name="USBandwidth" hidden="1">[1]Equipment!$E$54:$DT$54</definedName>
    <definedName name="USDBRL">[7]Summary!$C$86</definedName>
    <definedName name="USDJPY">[7]Summary!$C$87</definedName>
    <definedName name="UsefulLife" hidden="1">[1]Model!$E$37</definedName>
    <definedName name="USPerDataSub" hidden="1">[1]Equipment!$E$31:$DT$31</definedName>
    <definedName name="USPerDataSubInput" hidden="1">'[1]Capex Input'!$E$43:$DT$43</definedName>
    <definedName name="USPerDom" hidden="1">[1]Equipment!$E$47:$DT$47</definedName>
    <definedName name="USPerDS0" hidden="1">[1]Equipment!$E$25:$DT$25</definedName>
    <definedName name="USUtil" hidden="1">[1]Equipment!$E$61:$DT$61</definedName>
    <definedName name="USUtilData" hidden="1">[1]Equipment!$E$66:$DT$66</definedName>
    <definedName name="valuearea">[19]data!$AQ$26:$CS$864</definedName>
    <definedName name="variance_logic">#REF!</definedName>
    <definedName name="VerintFixed" hidden="1">[1]Equipment!$E$244:$DT$244</definedName>
    <definedName name="VerintVar" hidden="1">[1]Equipment!$E$250:$DT$250</definedName>
    <definedName name="Version.WIRE">1</definedName>
    <definedName name="vis_måned">[10]Grunndata!$A$3:$B$14</definedName>
    <definedName name="VISM" hidden="1">[1]Equipment!$E$159:$DT$159</definedName>
    <definedName name="VoiceLines" hidden="1">[1]Model!$E$83:$DT$83</definedName>
    <definedName name="VoiceSubs" hidden="1">[1]Model!$E$81:$DT$81</definedName>
    <definedName name="WANBandwidth" hidden="1">[1]Equipment!$E$55:$DT$55</definedName>
    <definedName name="WANPerDataSub" hidden="1">[1]Equipment!$E$32:$DT$32</definedName>
    <definedName name="WANPerDS0" hidden="1">[1]Equipment!$E$26:$DT$26</definedName>
    <definedName name="WANUtil" hidden="1">[1]Equipment!$E$62:$DT$62</definedName>
    <definedName name="WANUtilData" hidden="1">[1]Equipment!$E$67:$DT$67</definedName>
    <definedName name="WhoIs" hidden="1">"Developed by Cisco Systems, August 2002"</definedName>
    <definedName name="Workbook.Author">[20]Contents!$B$14</definedName>
    <definedName name="Workbook.Authors_Email_Address">[20]Contents!$B$15</definedName>
    <definedName name="Workbook.Objective">[20]Contents!$B$6</definedName>
    <definedName name="Workbook.Status">[20]Contents!$B$9</definedName>
    <definedName name="Workbook.Title">[20]Contents!$B$5</definedName>
    <definedName name="Workbook.Version">[20]Contents!$B$8</definedName>
    <definedName name="WORKBOOK_SAPBEXq0003" comment="DP_4">"DP_4"</definedName>
    <definedName name="WORKBOOK_SAPBEXq0004" comment="DP_5">"DP_5"</definedName>
    <definedName name="WORKBOOK_SAPBEXq0009" comment="DP_6">"DP_6"</definedName>
    <definedName name="WORKBOOK_SAPBEXq0010" comment="DP_7">"DP_7"</definedName>
    <definedName name="WORKBOOK_SAPBEXq0011" comment="DP_8">"DP_8"</definedName>
    <definedName name="WORKBOOK_SAPBEXq0012" comment="DP_9">"DP_9"</definedName>
    <definedName name="WORKBOOK_SAPBEXq0015" comment="DP_10">"DP_10"</definedName>
    <definedName name="wrn.4Q._.Report." localSheetId="0" hidden="1">{"Summary OCF",#N/A,FALSE,"Summary OCF";"Rev &amp; OCF",#N/A,FALSE,"Revenue and OCF";"Exp",#N/A,FALSE,"Expenses";"Subs",#N/A,FALSE,"Subscribers"}</definedName>
    <definedName name="wrn.4Q._.Report." hidden="1">{"Summary OCF",#N/A,FALSE,"Summary OCF";"Rev &amp; OCF",#N/A,FALSE,"Revenue and OCF";"Exp",#N/A,FALSE,"Expenses";"Subs",#N/A,FALSE,"Subscribers"}</definedName>
    <definedName name="wrn.Budget._.Annual." localSheetId="0" hidden="1">{"Annual P&amp;L",#N/A,TRUE,"P&amp;L";"Annual Revenue 1",#N/A,TRUE,"DetRev";"Annual Revenue 2",#N/A,TRUE,"DetRev";"Annual Tech",#N/A,TRUE,"DetTech";"Annual Customer Service",#N/A,TRUE,"DetCSR";"Annual Marketing",#N/A,TRUE,"DetMrkt";"Annual Online",#N/A,TRUE,"DetOnline";"Annual Telephony",#N/A,TRUE,"DetTelephony";"Annual Adsales",#N/A,TRUE,"DetAdSales";"Annual LO",#N/A,TRUE,"DETLO";"Annual Administration",#N/A,TRUE,"DetAdmin";"Annual Product",#N/A,TRUE,"DetProd";"Annual Manpower",#N/A,TRUE,"Manpower Summary"}</definedName>
    <definedName name="wrn.Budget._.Annual." hidden="1">{"Annual P&amp;L",#N/A,TRUE,"P&amp;L";"Annual Revenue 1",#N/A,TRUE,"DetRev";"Annual Revenue 2",#N/A,TRUE,"DetRev";"Annual Tech",#N/A,TRUE,"DetTech";"Annual Customer Service",#N/A,TRUE,"DetCSR";"Annual Marketing",#N/A,TRUE,"DetMrkt";"Annual Online",#N/A,TRUE,"DetOnline";"Annual Telephony",#N/A,TRUE,"DetTelephony";"Annual Adsales",#N/A,TRUE,"DetAdSales";"Annual LO",#N/A,TRUE,"DETLO";"Annual Administration",#N/A,TRUE,"DetAdmin";"Annual Product",#N/A,TRUE,"DetProd";"Annual Manpower",#N/A,TRUE,"Manpower Summary"}</definedName>
    <definedName name="wrn.Budget._.Trend." localSheetId="0" hidden="1">{"Trend P&amp;L",#N/A,TRUE,"P&amp;L";"Trend Revenue 1",#N/A,TRUE,"DetRev";"Trend Revenue 2",#N/A,TRUE,"DetRev";"Trend Tech",#N/A,TRUE,"DetTech";"Trend Customer Service",#N/A,TRUE,"DetCSR";"Trend Marketing",#N/A,TRUE,"DetMrkt";"Trend Online",#N/A,TRUE,"DetOnline";"Trend Telephony",#N/A,TRUE,"DetTelephony";"Trend Adsales",#N/A,TRUE,"DetAdSales";"Trend LO",#N/A,TRUE,"DETLO";"Trend Administration",#N/A,TRUE,"DetAdmin";"Trend Product",#N/A,TRUE,"DetProd"}</definedName>
    <definedName name="wrn.Budget._.Trend." hidden="1">{"Trend P&amp;L",#N/A,TRUE,"P&amp;L";"Trend Revenue 1",#N/A,TRUE,"DetRev";"Trend Revenue 2",#N/A,TRUE,"DetRev";"Trend Tech",#N/A,TRUE,"DetTech";"Trend Customer Service",#N/A,TRUE,"DetCSR";"Trend Marketing",#N/A,TRUE,"DetMrkt";"Trend Online",#N/A,TRUE,"DetOnline";"Trend Telephony",#N/A,TRUE,"DetTelephony";"Trend Adsales",#N/A,TRUE,"DetAdSales";"Trend LO",#N/A,TRUE,"DETLO";"Trend Administration",#N/A,TRUE,"DetAdmin";"Trend Product",#N/A,TRUE,"DetProd"}</definedName>
    <definedName name="wrn.Cable._.Headcount._.Reports." localSheetId="0" hidden="1">{"Headcount Annual",#N/A,FALSE,"Headcount";"Headcount Monthly",#N/A,FALSE,"Headcount"}</definedName>
    <definedName name="wrn.Cable._.Headcount._.Reports." hidden="1">{"Headcount Annual",#N/A,FALSE,"Headcount";"Headcount Monthly",#N/A,FALSE,"Headcount"}</definedName>
    <definedName name="wrn.Capital." localSheetId="0" hidden="1">{"Capital",#N/A,FALSE,"CapSum"}</definedName>
    <definedName name="wrn.Capital." hidden="1">{"Capital",#N/A,FALSE,"CapSum"}</definedName>
    <definedName name="wrn.Capital._.Report." localSheetId="0" hidden="1">{"Capital",#N/A,FALSE,"CapSum"}</definedName>
    <definedName name="wrn.Capital._.Report." hidden="1">{"Capital",#N/A,FALSE,"CapSum"}</definedName>
    <definedName name="wrn.Capital._.Reports." localSheetId="0" hidden="1">{"Capital Summary",#N/A,FALSE,"CapSum";"Other Capital",#N/A,FALSE,"CapDet";"Construction Report",#N/A,FALSE,"ConstRep"}</definedName>
    <definedName name="wrn.Capital._.Reports." hidden="1">{"Capital Summary",#N/A,FALSE,"CapSum";"Other Capital",#N/A,FALSE,"CapDet";"Construction Report",#N/A,FALSE,"ConstRep"}</definedName>
    <definedName name="wrn.Capital._.Summary." localSheetId="0" hidden="1">{"Capital",#N/A,FALSE,"CapSum"}</definedName>
    <definedName name="wrn.Capital._.Summary." hidden="1">{"Capital",#N/A,FALSE,"CapSum"}</definedName>
    <definedName name="wrn.Current._.Month." localSheetId="0" hidden="1">{"current month",#N/A,FALSE,"Capitalization"}</definedName>
    <definedName name="wrn.Current._.Month." hidden="1">{"current month",#N/A,FALSE,"Capitalization"}</definedName>
    <definedName name="wrn.Digital._.Sub._.Detail." localSheetId="0" hidden="1">{"Digital Detail",#N/A,FALSE,"Digital"}</definedName>
    <definedName name="wrn.Digital._.Sub._.Detail." hidden="1">{"Digital Detail",#N/A,FALSE,"Digital"}</definedName>
    <definedName name="wrn.Financial._.Reports." localSheetId="0" hidden="1">{#N/A,#N/A,FALSE,"Statement of Ops";#N/A,#N/A,FALSE,"Trend Ops";#N/A,#N/A,FALSE,"Revenue";#N/A,#N/A,FALSE,"Trend Rev";#N/A,#N/A,FALSE,"Tech";#N/A,#N/A,FALSE,"Trend Tech";#N/A,#N/A,FALSE,"Cust Serv";#N/A,#N/A,FALSE,"Trend Cust Serv";#N/A,#N/A,FALSE,"Marketing";#N/A,#N/A,FALSE,"Trend Marketing";#N/A,#N/A,FALSE,"Online";#N/A,#N/A,FALSE,"Trend Online";#N/A,#N/A,FALSE,"Telephony";#N/A,#N/A,FALSE,"Trend Telephony";#N/A,#N/A,FALSE,"Ad Sales";#N/A,#N/A,FALSE,"Trend Ad Sales";#N/A,#N/A,FALSE,"LO";#N/A,#N/A,FALSE,"Trend LO";#N/A,#N/A,FALSE,"Admin";#N/A,#N/A,FALSE,"Trend Admin";#N/A,#N/A,FALSE,"Product";#N/A,#N/A,FALSE,"Trend Product"}</definedName>
    <definedName name="wrn.Financial._.Reports." hidden="1">{#N/A,#N/A,FALSE,"Statement of Ops";#N/A,#N/A,FALSE,"Trend Ops";#N/A,#N/A,FALSE,"Revenue";#N/A,#N/A,FALSE,"Trend Rev";#N/A,#N/A,FALSE,"Tech";#N/A,#N/A,FALSE,"Trend Tech";#N/A,#N/A,FALSE,"Cust Serv";#N/A,#N/A,FALSE,"Trend Cust Serv";#N/A,#N/A,FALSE,"Marketing";#N/A,#N/A,FALSE,"Trend Marketing";#N/A,#N/A,FALSE,"Online";#N/A,#N/A,FALSE,"Trend Online";#N/A,#N/A,FALSE,"Telephony";#N/A,#N/A,FALSE,"Trend Telephony";#N/A,#N/A,FALSE,"Ad Sales";#N/A,#N/A,FALSE,"Trend Ad Sales";#N/A,#N/A,FALSE,"LO";#N/A,#N/A,FALSE,"Trend LO";#N/A,#N/A,FALSE,"Admin";#N/A,#N/A,FALSE,"Trend Admin";#N/A,#N/A,FALSE,"Product";#N/A,#N/A,FALSE,"Trend Product"}</definedName>
    <definedName name="wrn.Monthly._.Financial._.Reports." localSheetId="0" hidden="1">{"Monthly Rev",#N/A,FALSE,"DetRev";"Monthly Tech",#N/A,FALSE,"DetTech";"Monthly CSR",#N/A,FALSE,"DetCSR";"Monthly Mrkt",#N/A,FALSE,"DetMrkt";"Monthly Online",#N/A,FALSE,"DetOnline";"Monthly AdSales",#N/A,FALSE,"DetAdSales";"Monthly LO",#N/A,FALSE,"DETLO";"Monthly Admin",#N/A,FALSE,"DetAdmin";"Monthly Prod",#N/A,FALSE,"DetProd";"Headcount Monthly",#N/A,FALSE,"Headcount"}</definedName>
    <definedName name="wrn.Monthly._.Financial._.Reports." hidden="1">{"Monthly Rev",#N/A,FALSE,"DetRev";"Monthly Tech",#N/A,FALSE,"DetTech";"Monthly CSR",#N/A,FALSE,"DetCSR";"Monthly Mrkt",#N/A,FALSE,"DetMrkt";"Monthly Online",#N/A,FALSE,"DetOnline";"Monthly AdSales",#N/A,FALSE,"DetAdSales";"Monthly LO",#N/A,FALSE,"DETLO";"Monthly Admin",#N/A,FALSE,"DetAdmin";"Monthly Prod",#N/A,FALSE,"DetProd";"Headcount Monthly",#N/A,FALSE,"Headcount"}</definedName>
    <definedName name="wrn.No._.Ad._.Sales._.Reports." localSheetId="0" hidden="1">{"Annual P&amp;L NoAd",#N/A,FALSE,"P&amp;L No Ad Sales";"Annual Rev NoAd",#N/A,FALSE,"DetRev No Ad Sales";"Monthly P&amp;L NoAd",#N/A,FALSE,"P&amp;L No Ad Sales";"Monthly Rev NoAd",#N/A,FALSE,"DetRev No Ad Sales"}</definedName>
    <definedName name="wrn.No._.Ad._.Sales._.Reports." hidden="1">{"Annual P&amp;L NoAd",#N/A,FALSE,"P&amp;L No Ad Sales";"Annual Rev NoAd",#N/A,FALSE,"DetRev No Ad Sales";"Monthly P&amp;L NoAd",#N/A,FALSE,"P&amp;L No Ad Sales";"Monthly Rev NoAd",#N/A,FALSE,"DetRev No Ad Sales"}</definedName>
    <definedName name="wrn.No._.AdSales._.Annual." localSheetId="0" hidden="1">{"P&amp;L No Ads Annual",#N/A,TRUE,"P&amp;L No Ad Sales";"Revenue No Ads Annual",#N/A,TRUE,"DetRev No Ad Sales"}</definedName>
    <definedName name="wrn.No._.AdSales._.Annual." hidden="1">{"P&amp;L No Ads Annual",#N/A,TRUE,"P&amp;L No Ad Sales";"Revenue No Ads Annual",#N/A,TRUE,"DetRev No Ad Sales"}</definedName>
    <definedName name="wrn.No._.AdSales._.Financial." localSheetId="0" hidden="1">{"Annual P&amp;L No Ads",#N/A,TRUE,"Trend No AdSales";"Monthly P&amp;L No Ads",#N/A,TRUE,"Trend No AdSales";"Annual Rev no Ads",#N/A,TRUE,"Trend Rev No AdSales";"Monthly Rev No Ads",#N/A,TRUE,"Trend Rev No AdSales"}</definedName>
    <definedName name="wrn.No._.AdSales._.Financial." hidden="1">{"Annual P&amp;L No Ads",#N/A,TRUE,"Trend No AdSales";"Monthly P&amp;L No Ads",#N/A,TRUE,"Trend No AdSales";"Annual Rev no Ads",#N/A,TRUE,"Trend Rev No AdSales";"Monthly Rev No Ads",#N/A,TRUE,"Trend Rev No AdSales"}</definedName>
    <definedName name="wrn.No._.Adsales._.Reports." localSheetId="0" hidden="1">{"Trend P&amp;L No Adsales",#N/A,TRUE,"P&amp;L No Ad Sales";"Annual P&amp;L No Adsales",#N/A,TRUE,"P&amp;L No Ad Sales";"Trend Revenue no Adsales",#N/A,TRUE,"DetRev No AdSales";"Annual Revenue No AdSales",#N/A,TRUE,"DetRev No AdSales"}</definedName>
    <definedName name="wrn.No._.Adsales._.Reports." hidden="1">{"Trend P&amp;L No Adsales",#N/A,TRUE,"P&amp;L No Ad Sales";"Annual P&amp;L No Adsales",#N/A,TRUE,"P&amp;L No Ad Sales";"Trend Revenue no Adsales",#N/A,TRUE,"DetRev No AdSales";"Annual Revenue No AdSales",#N/A,TRUE,"DetRev No AdSales"}</definedName>
    <definedName name="wrn.No._.AdSales._.Trend." localSheetId="0" hidden="1">{"P&amp;L No Ads Trend",#N/A,TRUE,"P&amp;L No Ad Sales";"Revenue No Ads Trend",#N/A,TRUE,"DetRev No Ad Sales"}</definedName>
    <definedName name="wrn.No._.AdSales._.Trend." hidden="1">{"P&amp;L No Ads Trend",#N/A,TRUE,"P&amp;L No Ad Sales";"Revenue No Ads Trend",#N/A,TRUE,"DetRev No Ad Sales"}</definedName>
    <definedName name="wrn.Online._.Headcount._.Reports." localSheetId="0" hidden="1">{"Online Headcount Annual",#N/A,FALSE,"Headcount";"Online Headcount Monthly",#N/A,FALSE,"Headcount"}</definedName>
    <definedName name="wrn.Online._.Headcount._.Reports." hidden="1">{"Online Headcount Annual",#N/A,FALSE,"Headcount";"Online Headcount Monthly",#N/A,FALSE,"Headcount"}</definedName>
    <definedName name="wrn.Online._.Sub._.Detail." localSheetId="0" hidden="1">{"Online Detail",#N/A,FALSE,"OnLine"}</definedName>
    <definedName name="wrn.Online._.Sub._.Detail." hidden="1">{"Online Detail",#N/A,FALSE,"OnLine"}</definedName>
    <definedName name="wrn.PandL." localSheetId="0" hidden="1">{"P&amp;L",#N/A,FALSE,"annual"}</definedName>
    <definedName name="wrn.PandL." hidden="1">{"P&amp;L",#N/A,FALSE,"annual"}</definedName>
    <definedName name="wrn.Pay._.Sub._.Detail." localSheetId="0" hidden="1">{"Pay Detail",#N/A,FALSE,"Pay"}</definedName>
    <definedName name="wrn.Pay._.Sub._.Detail." hidden="1">{"Pay Detail",#N/A,FALSE,"Pay"}</definedName>
    <definedName name="wrn.Trend." localSheetId="0" hidden="1">{"trend",#N/A,TRUE,"Capitalization"}</definedName>
    <definedName name="wrn.Trend." hidden="1">{"trend",#N/A,TRUE,"Capitalization"}</definedName>
    <definedName name="wrn.Trend._.Reports." localSheetId="0" hidden="1">{"P&amp;L Trend",#N/A,TRUE,"P&amp;L";"Revenue Trend",#N/A,TRUE,"DetRev";"Tech Trend",#N/A,TRUE,"DetTech";"Customer Service Trend",#N/A,TRUE,"DetCSR";"Marketing Trend",#N/A,TRUE,"DetMrkt";"Online Trend",#N/A,TRUE,"DetOnline";"Telephony Trend",#N/A,TRUE,"DetTelephony";"Adsales Trend",#N/A,TRUE,"DetAdSales";"LO Trend",#N/A,TRUE,"DETLO";"Admin Trend",#N/A,TRUE,"DetAdmin";"Product Trend",#N/A,TRUE,"DetProd"}</definedName>
    <definedName name="wrn.Trend._.Reports." hidden="1">{"P&amp;L Trend",#N/A,TRUE,"P&amp;L";"Revenue Trend",#N/A,TRUE,"DetRev";"Tech Trend",#N/A,TRUE,"DetTech";"Customer Service Trend",#N/A,TRUE,"DetCSR";"Marketing Trend",#N/A,TRUE,"DetMrkt";"Online Trend",#N/A,TRUE,"DetOnline";"Telephony Trend",#N/A,TRUE,"DetTelephony";"Adsales Trend",#N/A,TRUE,"DetAdSales";"LO Trend",#N/A,TRUE,"DETLO";"Admin Trend",#N/A,TRUE,"DetAdmin";"Product Trend",#N/A,TRUE,"DetProd"}</definedName>
    <definedName name="wrn.Vodafone._.printout." localSheetId="0" hidden="1">{"Groupannual",#N/A,FALSE,"Groupannual";"VodMann",#N/A,FALSE,"VodMann";"Data",#N/A,FALSE,"Data";"Group International",#N/A,FALSE,"Group International";"BellAir",#N/A,FALSE,"BellAir";"DCF sum of parts",#N/A,FALSE,"DCF sum of parts";"licences",#N/A,FALSE,"licences"}</definedName>
    <definedName name="wrn.Vodafone._.printout." hidden="1">{"Groupannual",#N/A,FALSE,"Groupannual";"VodMann",#N/A,FALSE,"VodMann";"Data",#N/A,FALSE,"Data";"Group International",#N/A,FALSE,"Group International";"BellAir",#N/A,FALSE,"BellAir";"DCF sum of parts",#N/A,FALSE,"DCF sum of parts";"licences",#N/A,FALSE,"licences"}</definedName>
    <definedName name="wwwwwwwwwwwww" localSheetId="0" hidden="1">{#N/A,#N/A,FALSE,"Statement of Ops";#N/A,#N/A,FALSE,"Trend Ops"}</definedName>
    <definedName name="wwwwwwwwwwwww" hidden="1">{#N/A,#N/A,FALSE,"Statement of Ops";#N/A,#N/A,FALSE,"Trend Ops"}</definedName>
    <definedName name="xxxx" localSheetId="0" hidden="1">{"P&amp;L Annual",#N/A,FALSE,"P&amp;L";"Rev Annual",#N/A,FALSE,"DetRev";"Tech Annual",#N/A,FALSE,"DetTech";"CSR Annual",#N/A,FALSE,"DetCSR";"Marketing Annual",#N/A,FALSE,"DetMrkt";"Ad Sales Annual",#N/A,FALSE,"DetAdSales";"LO Annual",#N/A,FALSE,"DETLO";"Admin Annual",#N/A,FALSE,"DetAdmin";"Product Annual",#N/A,FALSE,"DetProd"}</definedName>
    <definedName name="xxxx" hidden="1">{"P&amp;L Annual",#N/A,FALSE,"P&amp;L";"Rev Annual",#N/A,FALSE,"DetRev";"Tech Annual",#N/A,FALSE,"DetTech";"CSR Annual",#N/A,FALSE,"DetCSR";"Marketing Annual",#N/A,FALSE,"DetMrkt";"Ad Sales Annual",#N/A,FALSE,"DetAdSales";"LO Annual",#N/A,FALSE,"DETLO";"Admin Annual",#N/A,FALSE,"DetAdmin";"Product Annual",#N/A,FALSE,"DetProd"}</definedName>
    <definedName name="Year_ending_March">#REF!</definedName>
    <definedName name="years">#REF!</definedName>
    <definedName name="Yellow">#REF!</definedName>
    <definedName name="YTDcomrange1">#REF!</definedName>
    <definedName name="YTDcomrange2">#REF!</definedName>
    <definedName name="Z_FB9FEF07_E23D_4093_B787_DA7C6E65880F_.wvu.PrintTitles" hidden="1">'[21]Inputs - Debt Roll'!$A$1:$F$65536,'[21]Inputs - Debt Roll'!$A$1:$IV$9</definedName>
    <definedName name="ｸﾞﾚｰ">'[22]ﾃﾞｰﾀ加工(MTD)'!$EY$4</definedName>
    <definedName name="ｸﾞﾚｰY">'[22]ﾃﾞｰﾀ加工(YTD)'!$EY$4</definedName>
    <definedName name="チケット別日別販売実績_DAT">#REF!</definedName>
    <definedName name="ベニューリスト">#REF!</definedName>
    <definedName name="元DATA">'[12]03FY 2nd Hafl Latest Estimate'!$B$2:$J$1450</definedName>
    <definedName name="利益処分計算">'[12]03FY 2nd Hafl Latest Estimate'!#REF!</definedName>
    <definedName name="勘定科目">#REF!</definedName>
    <definedName name="印刷01">'[12]03FY 2nd Hafl Latest Estimate'!$B$4:$Z$399</definedName>
    <definedName name="印刷02">'[12]03FY 2nd Hafl Latest Estimate'!$B$400:$Z$474</definedName>
    <definedName name="反転">'[22]ﾃﾞｰﾀ加工(MTD)'!$FC$4</definedName>
    <definedName name="反転Y">'[22]ﾃﾞｰﾀ加工(YTD)'!$FC$4</definedName>
    <definedName name="基本項目_FLAG">[18]基礎ﾃﾞｰﾀ!#REF!</definedName>
    <definedName name="消税率">#REF!</definedName>
  </definedNames>
  <calcPr calcId="191029" calcMode="manual" iterate="1" calcCompleted="0"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6" i="18" l="1"/>
  <c r="F185" i="10" l="1"/>
  <c r="F182" i="10"/>
  <c r="F183" i="10" s="1"/>
  <c r="E182" i="10"/>
  <c r="K15" i="9" l="1"/>
  <c r="B171" i="10" l="1"/>
  <c r="B172" i="10" s="1"/>
  <c r="B173" i="10" s="1"/>
  <c r="B174" i="10" s="1"/>
  <c r="B175" i="10" s="1"/>
  <c r="J216" i="1"/>
  <c r="K216" i="1" s="1"/>
  <c r="L216" i="1" s="1"/>
  <c r="M216" i="1" s="1"/>
  <c r="J162" i="1"/>
  <c r="K162" i="1" s="1"/>
  <c r="L162" i="1" s="1"/>
  <c r="M162" i="1" s="1"/>
  <c r="N162" i="1" s="1"/>
  <c r="O162" i="1" s="1"/>
  <c r="J177" i="1"/>
  <c r="K177" i="1" s="1"/>
  <c r="L177" i="1" s="1"/>
  <c r="M177" i="1" s="1"/>
  <c r="N177" i="1" s="1"/>
  <c r="O177" i="1" s="1"/>
  <c r="N216" i="1" l="1"/>
  <c r="O216" i="1" s="1"/>
  <c r="K417" i="9" l="1"/>
  <c r="M417" i="9" s="1"/>
  <c r="K418" i="9"/>
  <c r="G417" i="9"/>
  <c r="P198" i="4"/>
  <c r="O198" i="4"/>
  <c r="N198" i="4"/>
  <c r="M198" i="4"/>
  <c r="L198" i="4"/>
  <c r="K198" i="4"/>
  <c r="J198" i="4"/>
  <c r="I198" i="4"/>
  <c r="H198" i="4"/>
  <c r="G198" i="4"/>
  <c r="F198" i="4"/>
  <c r="E198" i="4"/>
  <c r="D198" i="4"/>
  <c r="Q198" i="4"/>
  <c r="G7" i="4"/>
  <c r="H7" i="4"/>
  <c r="I7" i="4"/>
  <c r="J7" i="4"/>
  <c r="K7" i="4"/>
  <c r="L7" i="4"/>
  <c r="M7" i="4"/>
  <c r="N7" i="4"/>
  <c r="O7" i="4"/>
  <c r="G8" i="4"/>
  <c r="H8" i="4"/>
  <c r="I8" i="4"/>
  <c r="J8" i="4"/>
  <c r="K8" i="4"/>
  <c r="L8" i="4"/>
  <c r="M8" i="4"/>
  <c r="N8" i="4"/>
  <c r="O8" i="4"/>
  <c r="G9" i="4"/>
  <c r="H9" i="4"/>
  <c r="I9" i="4"/>
  <c r="J9" i="4"/>
  <c r="K9" i="4"/>
  <c r="L9" i="4"/>
  <c r="M9" i="4"/>
  <c r="N9" i="4"/>
  <c r="O9" i="4"/>
  <c r="G10" i="4"/>
  <c r="H10" i="4"/>
  <c r="I10" i="4"/>
  <c r="J10" i="4"/>
  <c r="K10" i="4"/>
  <c r="L10" i="4"/>
  <c r="M10" i="4"/>
  <c r="N10" i="4"/>
  <c r="O10" i="4"/>
  <c r="H11" i="4"/>
  <c r="H201" i="4" s="1"/>
  <c r="I11" i="4"/>
  <c r="J11" i="4"/>
  <c r="L11" i="4"/>
  <c r="M11" i="4"/>
  <c r="M201" i="4" s="1"/>
  <c r="N11" i="4"/>
  <c r="N201" i="4" s="1"/>
  <c r="O11" i="4"/>
  <c r="O201" i="4" s="1"/>
  <c r="G12" i="4"/>
  <c r="O12" i="4"/>
  <c r="H13" i="4"/>
  <c r="H221" i="4" s="1"/>
  <c r="I13" i="4"/>
  <c r="I19" i="4" s="1"/>
  <c r="J13" i="4"/>
  <c r="J17" i="4" s="1"/>
  <c r="K13" i="4"/>
  <c r="K17" i="4" s="1"/>
  <c r="L13" i="4"/>
  <c r="L17" i="4" s="1"/>
  <c r="M13" i="4"/>
  <c r="M17" i="4" s="1"/>
  <c r="N13" i="4"/>
  <c r="N19" i="4" s="1"/>
  <c r="N17" i="4"/>
  <c r="G24" i="4"/>
  <c r="H24" i="4"/>
  <c r="I24" i="4"/>
  <c r="J24" i="4"/>
  <c r="K24" i="4"/>
  <c r="L24" i="4"/>
  <c r="M24" i="4"/>
  <c r="N24" i="4"/>
  <c r="O24" i="4"/>
  <c r="G25" i="4"/>
  <c r="H25" i="4"/>
  <c r="I25" i="4"/>
  <c r="J25" i="4"/>
  <c r="K25" i="4"/>
  <c r="L25" i="4"/>
  <c r="M25" i="4"/>
  <c r="N25" i="4"/>
  <c r="O25" i="4"/>
  <c r="G26" i="4"/>
  <c r="H26" i="4"/>
  <c r="I26" i="4"/>
  <c r="J26" i="4"/>
  <c r="K26" i="4"/>
  <c r="L26" i="4"/>
  <c r="M26" i="4"/>
  <c r="N26" i="4"/>
  <c r="O26" i="4"/>
  <c r="G27" i="4"/>
  <c r="G275" i="4" s="1"/>
  <c r="H27" i="4"/>
  <c r="H275" i="4" s="1"/>
  <c r="I27" i="4"/>
  <c r="J27" i="4"/>
  <c r="J275" i="4" s="1"/>
  <c r="K27" i="4"/>
  <c r="K275" i="4" s="1"/>
  <c r="L27" i="4"/>
  <c r="L275" i="4" s="1"/>
  <c r="M27" i="4"/>
  <c r="M275" i="4" s="1"/>
  <c r="N27" i="4"/>
  <c r="N275" i="4" s="1"/>
  <c r="O27" i="4"/>
  <c r="O275" i="4" s="1"/>
  <c r="G28" i="4"/>
  <c r="H28" i="4"/>
  <c r="I28" i="4"/>
  <c r="I252" i="4" s="1"/>
  <c r="J28" i="4"/>
  <c r="J252" i="4" s="1"/>
  <c r="L28" i="4"/>
  <c r="L252" i="4" s="1"/>
  <c r="M28" i="4"/>
  <c r="M252" i="4" s="1"/>
  <c r="N28" i="4"/>
  <c r="N252" i="4" s="1"/>
  <c r="O28" i="4"/>
  <c r="G29" i="4"/>
  <c r="O29" i="4"/>
  <c r="H30" i="4"/>
  <c r="I30" i="4"/>
  <c r="I255" i="4" s="1"/>
  <c r="J30" i="4"/>
  <c r="J255" i="4" s="1"/>
  <c r="K30" i="4"/>
  <c r="K255" i="4" s="1"/>
  <c r="L30" i="4"/>
  <c r="L255" i="4" s="1"/>
  <c r="M30" i="4"/>
  <c r="N30" i="4"/>
  <c r="N255" i="4" s="1"/>
  <c r="G34" i="4"/>
  <c r="H34" i="4"/>
  <c r="I34" i="4"/>
  <c r="J34" i="4"/>
  <c r="K34" i="4"/>
  <c r="L34" i="4"/>
  <c r="M34" i="4"/>
  <c r="N34" i="4"/>
  <c r="O34" i="4"/>
  <c r="G35" i="4"/>
  <c r="H35" i="4"/>
  <c r="I35" i="4"/>
  <c r="J35" i="4"/>
  <c r="K35" i="4"/>
  <c r="L35" i="4"/>
  <c r="M35" i="4"/>
  <c r="N35" i="4"/>
  <c r="O35" i="4"/>
  <c r="G36" i="4"/>
  <c r="H36" i="4"/>
  <c r="I36" i="4"/>
  <c r="J36" i="4"/>
  <c r="K36" i="4"/>
  <c r="L36" i="4"/>
  <c r="M36" i="4"/>
  <c r="N36" i="4"/>
  <c r="O36" i="4"/>
  <c r="G37" i="4"/>
  <c r="H37" i="4"/>
  <c r="I37" i="4"/>
  <c r="J37" i="4"/>
  <c r="K37" i="4"/>
  <c r="L37" i="4"/>
  <c r="M37" i="4"/>
  <c r="N37" i="4"/>
  <c r="O37" i="4"/>
  <c r="O38" i="4"/>
  <c r="H39" i="4"/>
  <c r="I39" i="4"/>
  <c r="J39" i="4"/>
  <c r="K39" i="4"/>
  <c r="L39" i="4"/>
  <c r="M39" i="4"/>
  <c r="N39" i="4"/>
  <c r="G40" i="4"/>
  <c r="O40" i="4"/>
  <c r="G45" i="4"/>
  <c r="H45" i="4"/>
  <c r="I45" i="4"/>
  <c r="J45" i="4"/>
  <c r="K45" i="4"/>
  <c r="L45" i="4"/>
  <c r="M45" i="4"/>
  <c r="N45" i="4"/>
  <c r="O45" i="4"/>
  <c r="G46" i="4"/>
  <c r="H46" i="4"/>
  <c r="I46" i="4"/>
  <c r="J46" i="4"/>
  <c r="K46" i="4"/>
  <c r="L46" i="4"/>
  <c r="M46" i="4"/>
  <c r="N46" i="4"/>
  <c r="O46" i="4"/>
  <c r="G47" i="4"/>
  <c r="H47" i="4"/>
  <c r="I47" i="4"/>
  <c r="J47" i="4"/>
  <c r="K47" i="4"/>
  <c r="L47" i="4"/>
  <c r="M47" i="4"/>
  <c r="N47" i="4"/>
  <c r="O47" i="4"/>
  <c r="G48" i="4"/>
  <c r="H48" i="4"/>
  <c r="I48" i="4"/>
  <c r="J48" i="4"/>
  <c r="K48" i="4"/>
  <c r="L48" i="4"/>
  <c r="M48" i="4"/>
  <c r="N48" i="4"/>
  <c r="O48" i="4"/>
  <c r="G49" i="4"/>
  <c r="H49" i="4"/>
  <c r="I49" i="4"/>
  <c r="J49" i="4"/>
  <c r="K49" i="4"/>
  <c r="L49" i="4"/>
  <c r="M49" i="4"/>
  <c r="N49" i="4"/>
  <c r="O49" i="4"/>
  <c r="O50" i="4"/>
  <c r="G53" i="4"/>
  <c r="H53" i="4"/>
  <c r="I53" i="4"/>
  <c r="J53" i="4"/>
  <c r="K53" i="4"/>
  <c r="L53" i="4"/>
  <c r="M53" i="4"/>
  <c r="N53" i="4"/>
  <c r="O53" i="4"/>
  <c r="G54" i="4"/>
  <c r="H54" i="4"/>
  <c r="I54" i="4"/>
  <c r="J54" i="4"/>
  <c r="K54" i="4"/>
  <c r="L54" i="4"/>
  <c r="M54" i="4"/>
  <c r="N54" i="4"/>
  <c r="O54" i="4"/>
  <c r="G55" i="4"/>
  <c r="H55" i="4"/>
  <c r="I55" i="4"/>
  <c r="J55" i="4"/>
  <c r="K55" i="4"/>
  <c r="L55" i="4"/>
  <c r="M55" i="4"/>
  <c r="N55" i="4"/>
  <c r="O55" i="4"/>
  <c r="G56" i="4"/>
  <c r="H56" i="4"/>
  <c r="I56" i="4"/>
  <c r="J56" i="4"/>
  <c r="K56" i="4"/>
  <c r="L56" i="4"/>
  <c r="M56" i="4"/>
  <c r="N56" i="4"/>
  <c r="O56" i="4"/>
  <c r="G57" i="4"/>
  <c r="H57" i="4"/>
  <c r="H276" i="4" s="1"/>
  <c r="I57" i="4"/>
  <c r="I276" i="4" s="1"/>
  <c r="J57" i="4"/>
  <c r="J276" i="4" s="1"/>
  <c r="J282" i="4" s="1"/>
  <c r="K57" i="4"/>
  <c r="K276" i="4" s="1"/>
  <c r="K282" i="4" s="1"/>
  <c r="L57" i="4"/>
  <c r="L276" i="4" s="1"/>
  <c r="L282" i="4" s="1"/>
  <c r="M57" i="4"/>
  <c r="M276" i="4" s="1"/>
  <c r="M282" i="4" s="1"/>
  <c r="N57" i="4"/>
  <c r="O57" i="4"/>
  <c r="G58" i="4"/>
  <c r="H58" i="4"/>
  <c r="I58" i="4"/>
  <c r="J58" i="4"/>
  <c r="K58" i="4"/>
  <c r="L58" i="4"/>
  <c r="M58" i="4"/>
  <c r="N58" i="4"/>
  <c r="O58" i="4"/>
  <c r="G65" i="4"/>
  <c r="H65" i="4"/>
  <c r="I65" i="4"/>
  <c r="J65" i="4"/>
  <c r="K65" i="4"/>
  <c r="L65" i="4"/>
  <c r="M65" i="4"/>
  <c r="N65" i="4"/>
  <c r="O65" i="4"/>
  <c r="G68" i="4"/>
  <c r="H68" i="4"/>
  <c r="I68" i="4"/>
  <c r="J68" i="4"/>
  <c r="K68" i="4"/>
  <c r="L68" i="4"/>
  <c r="M68" i="4"/>
  <c r="N68" i="4"/>
  <c r="O68" i="4"/>
  <c r="G71" i="4"/>
  <c r="H71" i="4"/>
  <c r="I71" i="4"/>
  <c r="J71" i="4"/>
  <c r="K71" i="4"/>
  <c r="L71" i="4"/>
  <c r="M71" i="4"/>
  <c r="N71" i="4"/>
  <c r="O71" i="4"/>
  <c r="G74" i="4"/>
  <c r="H74" i="4"/>
  <c r="I74" i="4"/>
  <c r="J74" i="4"/>
  <c r="K74" i="4"/>
  <c r="L74" i="4"/>
  <c r="L155" i="4" s="1"/>
  <c r="M74" i="4"/>
  <c r="M155" i="4" s="1"/>
  <c r="N74" i="4"/>
  <c r="N155" i="4" s="1"/>
  <c r="O74" i="4"/>
  <c r="O155" i="4" s="1"/>
  <c r="G75" i="4"/>
  <c r="H75" i="4"/>
  <c r="I75" i="4"/>
  <c r="J75" i="4"/>
  <c r="K75" i="4"/>
  <c r="L75" i="4"/>
  <c r="M75" i="4"/>
  <c r="N75" i="4"/>
  <c r="O75" i="4"/>
  <c r="G76" i="4"/>
  <c r="H76" i="4"/>
  <c r="I76" i="4"/>
  <c r="J76" i="4"/>
  <c r="K76" i="4"/>
  <c r="L76" i="4"/>
  <c r="M76" i="4"/>
  <c r="N76" i="4"/>
  <c r="O76" i="4"/>
  <c r="H86" i="4"/>
  <c r="I86" i="4"/>
  <c r="J86" i="4"/>
  <c r="K86" i="4"/>
  <c r="L86" i="4"/>
  <c r="M86" i="4"/>
  <c r="N86" i="4"/>
  <c r="H87" i="4"/>
  <c r="I87" i="4"/>
  <c r="J87" i="4"/>
  <c r="K87" i="4"/>
  <c r="L87" i="4"/>
  <c r="M87" i="4"/>
  <c r="N87" i="4"/>
  <c r="O87" i="4"/>
  <c r="H88" i="4"/>
  <c r="I88" i="4"/>
  <c r="J88" i="4"/>
  <c r="K88" i="4"/>
  <c r="L88" i="4"/>
  <c r="L156" i="4" s="1"/>
  <c r="M88" i="4"/>
  <c r="M156" i="4" s="1"/>
  <c r="N88" i="4"/>
  <c r="N156" i="4" s="1"/>
  <c r="H91" i="4"/>
  <c r="I91" i="4"/>
  <c r="J91" i="4"/>
  <c r="K91" i="4"/>
  <c r="L91" i="4"/>
  <c r="M91" i="4"/>
  <c r="N91" i="4"/>
  <c r="O91" i="4"/>
  <c r="G98" i="4"/>
  <c r="H98" i="4"/>
  <c r="I98" i="4"/>
  <c r="J98" i="4"/>
  <c r="K98" i="4"/>
  <c r="L98" i="4"/>
  <c r="M98" i="4"/>
  <c r="N98" i="4"/>
  <c r="O98" i="4"/>
  <c r="G99" i="4"/>
  <c r="H99" i="4"/>
  <c r="I99" i="4"/>
  <c r="J99" i="4"/>
  <c r="K99" i="4"/>
  <c r="L99" i="4"/>
  <c r="M99" i="4"/>
  <c r="N99" i="4"/>
  <c r="O99" i="4"/>
  <c r="G100" i="4"/>
  <c r="H100" i="4"/>
  <c r="I100" i="4"/>
  <c r="J100" i="4"/>
  <c r="K100" i="4"/>
  <c r="L100" i="4"/>
  <c r="M100" i="4"/>
  <c r="N100" i="4"/>
  <c r="O100" i="4"/>
  <c r="G102" i="4"/>
  <c r="H102" i="4"/>
  <c r="I102" i="4"/>
  <c r="J102" i="4"/>
  <c r="K102" i="4"/>
  <c r="L102" i="4"/>
  <c r="M102" i="4"/>
  <c r="N102" i="4"/>
  <c r="O102" i="4"/>
  <c r="G103" i="4"/>
  <c r="H103" i="4"/>
  <c r="I103" i="4"/>
  <c r="J103" i="4"/>
  <c r="K103" i="4"/>
  <c r="L103" i="4"/>
  <c r="M103" i="4"/>
  <c r="N103" i="4"/>
  <c r="O103" i="4"/>
  <c r="G104" i="4"/>
  <c r="H104" i="4"/>
  <c r="I104" i="4"/>
  <c r="J104" i="4"/>
  <c r="K104" i="4"/>
  <c r="L104" i="4"/>
  <c r="M104" i="4"/>
  <c r="N104" i="4"/>
  <c r="O104" i="4"/>
  <c r="G106" i="4"/>
  <c r="H106" i="4"/>
  <c r="I106" i="4"/>
  <c r="J106" i="4"/>
  <c r="K106" i="4"/>
  <c r="L106" i="4"/>
  <c r="M106" i="4"/>
  <c r="N106" i="4"/>
  <c r="O106" i="4"/>
  <c r="G110" i="4"/>
  <c r="H110" i="4"/>
  <c r="I110" i="4"/>
  <c r="J110" i="4"/>
  <c r="K110" i="4"/>
  <c r="L110" i="4"/>
  <c r="M110" i="4"/>
  <c r="N110" i="4"/>
  <c r="O110" i="4"/>
  <c r="G111" i="4"/>
  <c r="H111" i="4"/>
  <c r="I111" i="4"/>
  <c r="J111" i="4"/>
  <c r="K111" i="4"/>
  <c r="L111" i="4"/>
  <c r="M111" i="4"/>
  <c r="N111" i="4"/>
  <c r="O111" i="4"/>
  <c r="L114" i="4"/>
  <c r="M114" i="4"/>
  <c r="M143" i="4" s="1"/>
  <c r="M152" i="4" s="1"/>
  <c r="N114" i="4"/>
  <c r="N143" i="4" s="1"/>
  <c r="N152" i="4" s="1"/>
  <c r="O114" i="4"/>
  <c r="O143" i="4" s="1"/>
  <c r="O152" i="4" s="1"/>
  <c r="L115" i="4"/>
  <c r="M115" i="4"/>
  <c r="N115" i="4"/>
  <c r="O115" i="4"/>
  <c r="L116" i="4"/>
  <c r="L142" i="4" s="1"/>
  <c r="M116" i="4"/>
  <c r="M142" i="4" s="1"/>
  <c r="N116" i="4"/>
  <c r="N142" i="4" s="1"/>
  <c r="O116" i="4"/>
  <c r="O142" i="4" s="1"/>
  <c r="L117" i="4"/>
  <c r="L154" i="4" s="1"/>
  <c r="M117" i="4"/>
  <c r="M154" i="4" s="1"/>
  <c r="N117" i="4"/>
  <c r="N154" i="4" s="1"/>
  <c r="O117" i="4"/>
  <c r="O154" i="4" s="1"/>
  <c r="L119" i="4"/>
  <c r="M119" i="4"/>
  <c r="N119" i="4"/>
  <c r="O119" i="4"/>
  <c r="G123" i="4"/>
  <c r="H123" i="4"/>
  <c r="I123" i="4"/>
  <c r="J123" i="4"/>
  <c r="K123" i="4"/>
  <c r="L123" i="4"/>
  <c r="M123" i="4"/>
  <c r="N123" i="4"/>
  <c r="G124" i="4"/>
  <c r="H124" i="4"/>
  <c r="I124" i="4"/>
  <c r="J124" i="4"/>
  <c r="K124" i="4"/>
  <c r="L124" i="4"/>
  <c r="M124" i="4"/>
  <c r="N124" i="4"/>
  <c r="L143" i="4"/>
  <c r="L152" i="4" s="1"/>
  <c r="M150" i="4"/>
  <c r="N150" i="4" s="1"/>
  <c r="O150" i="4" s="1"/>
  <c r="M151" i="4"/>
  <c r="N151" i="4" s="1"/>
  <c r="O151" i="4" s="1"/>
  <c r="M153" i="4"/>
  <c r="N153" i="4" s="1"/>
  <c r="O157" i="4"/>
  <c r="M160" i="4"/>
  <c r="M161" i="4"/>
  <c r="N161" i="4" s="1"/>
  <c r="O161" i="4" s="1"/>
  <c r="M162" i="4"/>
  <c r="N162" i="4" s="1"/>
  <c r="M163" i="4"/>
  <c r="N163" i="4" s="1"/>
  <c r="O163" i="4" s="1"/>
  <c r="M164" i="4"/>
  <c r="N164" i="4" s="1"/>
  <c r="M165" i="4"/>
  <c r="N165" i="4" s="1"/>
  <c r="L166" i="4"/>
  <c r="L167" i="4"/>
  <c r="M172" i="4"/>
  <c r="M173" i="4"/>
  <c r="N173" i="4" s="1"/>
  <c r="O173" i="4" s="1"/>
  <c r="N174" i="4"/>
  <c r="O174" i="4" s="1"/>
  <c r="L175" i="4"/>
  <c r="N177" i="4"/>
  <c r="O177" i="4" s="1"/>
  <c r="G193" i="4"/>
  <c r="D587" i="9" s="1"/>
  <c r="H193" i="4"/>
  <c r="H240" i="4" s="1"/>
  <c r="H289" i="4" s="1"/>
  <c r="I193" i="4"/>
  <c r="F587" i="9" s="1"/>
  <c r="J193" i="4"/>
  <c r="J240" i="4" s="1"/>
  <c r="J289" i="4" s="1"/>
  <c r="K193" i="4"/>
  <c r="K240" i="4" s="1"/>
  <c r="K289" i="4" s="1"/>
  <c r="L193" i="4"/>
  <c r="L240" i="4" s="1"/>
  <c r="L289" i="4" s="1"/>
  <c r="M193" i="4"/>
  <c r="J587" i="9" s="1"/>
  <c r="N193" i="4"/>
  <c r="N240" i="4" s="1"/>
  <c r="N289" i="4" s="1"/>
  <c r="O193" i="4"/>
  <c r="L587" i="9" s="1"/>
  <c r="G195" i="4"/>
  <c r="H195" i="4"/>
  <c r="H199" i="4" s="1"/>
  <c r="E588" i="9" s="1"/>
  <c r="I195" i="4"/>
  <c r="I199" i="4" s="1"/>
  <c r="F588" i="9" s="1"/>
  <c r="J195" i="4"/>
  <c r="J199" i="4" s="1"/>
  <c r="G588" i="9" s="1"/>
  <c r="K195" i="4"/>
  <c r="K199" i="4" s="1"/>
  <c r="H588" i="9" s="1"/>
  <c r="L195" i="4"/>
  <c r="L199" i="4" s="1"/>
  <c r="I588" i="9" s="1"/>
  <c r="M195" i="4"/>
  <c r="N195" i="4"/>
  <c r="N199" i="4" s="1"/>
  <c r="K588" i="9" s="1"/>
  <c r="L201" i="4"/>
  <c r="L204" i="4"/>
  <c r="M204" i="4"/>
  <c r="G211" i="4"/>
  <c r="H211" i="4"/>
  <c r="I211" i="4"/>
  <c r="J211" i="4"/>
  <c r="K211" i="4"/>
  <c r="L211" i="4"/>
  <c r="M211" i="4"/>
  <c r="N211" i="4"/>
  <c r="O211" i="4"/>
  <c r="M217" i="4"/>
  <c r="N221" i="4"/>
  <c r="L222" i="4"/>
  <c r="J223" i="4"/>
  <c r="L223" i="4"/>
  <c r="N223" i="4"/>
  <c r="O231" i="4"/>
  <c r="G232" i="4"/>
  <c r="H232" i="4"/>
  <c r="I232" i="4"/>
  <c r="J232" i="4"/>
  <c r="K232" i="4"/>
  <c r="L232" i="4"/>
  <c r="M232" i="4"/>
  <c r="N232" i="4"/>
  <c r="O232" i="4"/>
  <c r="O234" i="4" s="1"/>
  <c r="G242" i="4"/>
  <c r="H242" i="4"/>
  <c r="I242" i="4"/>
  <c r="J242" i="4"/>
  <c r="K242" i="4"/>
  <c r="L242" i="4"/>
  <c r="M242" i="4"/>
  <c r="N242" i="4"/>
  <c r="O242" i="4"/>
  <c r="G244" i="4"/>
  <c r="H244" i="4"/>
  <c r="I244" i="4"/>
  <c r="J244" i="4"/>
  <c r="K244" i="4"/>
  <c r="L244" i="4"/>
  <c r="M244" i="4"/>
  <c r="N244" i="4"/>
  <c r="O244" i="4"/>
  <c r="H249" i="4"/>
  <c r="J249" i="4"/>
  <c r="L249" i="4"/>
  <c r="M249" i="4"/>
  <c r="N249" i="4"/>
  <c r="O249" i="4"/>
  <c r="H252" i="4"/>
  <c r="H261" i="4"/>
  <c r="I261" i="4"/>
  <c r="J261" i="4"/>
  <c r="K261" i="4"/>
  <c r="L261" i="4"/>
  <c r="M261" i="4"/>
  <c r="N261" i="4"/>
  <c r="O261" i="4"/>
  <c r="O263" i="4"/>
  <c r="O295" i="4" s="1"/>
  <c r="O267" i="4"/>
  <c r="I275" i="4"/>
  <c r="G276" i="4"/>
  <c r="N276" i="4"/>
  <c r="N282" i="4" s="1"/>
  <c r="O276" i="4"/>
  <c r="O282" i="4" s="1"/>
  <c r="H306" i="4"/>
  <c r="J306" i="4"/>
  <c r="N306" i="4"/>
  <c r="O306" i="4" s="1"/>
  <c r="H314" i="4"/>
  <c r="I314" i="4"/>
  <c r="J314" i="4"/>
  <c r="K314" i="4"/>
  <c r="L314" i="4"/>
  <c r="M314" i="4"/>
  <c r="N314" i="4"/>
  <c r="O314" i="4"/>
  <c r="M134" i="4" l="1"/>
  <c r="M133" i="4"/>
  <c r="H31" i="4"/>
  <c r="L19" i="4"/>
  <c r="K247" i="4"/>
  <c r="I245" i="4"/>
  <c r="H133" i="4"/>
  <c r="M245" i="4"/>
  <c r="O240" i="4"/>
  <c r="O289" i="4" s="1"/>
  <c r="L221" i="4"/>
  <c r="L134" i="4"/>
  <c r="H243" i="4"/>
  <c r="N277" i="4"/>
  <c r="N278" i="4" s="1"/>
  <c r="H250" i="4"/>
  <c r="H247" i="4"/>
  <c r="H253" i="4" s="1"/>
  <c r="L14" i="4"/>
  <c r="L304" i="4" s="1"/>
  <c r="G240" i="4"/>
  <c r="G289" i="4" s="1"/>
  <c r="O264" i="4"/>
  <c r="N133" i="4"/>
  <c r="L417" i="9"/>
  <c r="N250" i="4"/>
  <c r="I240" i="4"/>
  <c r="I289" i="4" s="1"/>
  <c r="M222" i="4"/>
  <c r="K245" i="4"/>
  <c r="L227" i="4"/>
  <c r="N256" i="4"/>
  <c r="H277" i="4"/>
  <c r="H278" i="4" s="1"/>
  <c r="M221" i="4"/>
  <c r="L168" i="4"/>
  <c r="O250" i="4"/>
  <c r="O245" i="4"/>
  <c r="M223" i="4"/>
  <c r="G247" i="4"/>
  <c r="I222" i="4"/>
  <c r="L205" i="4"/>
  <c r="I134" i="4"/>
  <c r="L31" i="4"/>
  <c r="I17" i="4"/>
  <c r="J133" i="4"/>
  <c r="I14" i="4"/>
  <c r="I304" i="4" s="1"/>
  <c r="N245" i="4"/>
  <c r="I204" i="4"/>
  <c r="I205" i="4" s="1"/>
  <c r="I277" i="4"/>
  <c r="I278" i="4" s="1"/>
  <c r="O243" i="4"/>
  <c r="J31" i="4"/>
  <c r="M19" i="4"/>
  <c r="L277" i="4"/>
  <c r="L278" i="4" s="1"/>
  <c r="N243" i="4"/>
  <c r="M240" i="4"/>
  <c r="M289" i="4" s="1"/>
  <c r="I221" i="4"/>
  <c r="L202" i="4"/>
  <c r="G587" i="9"/>
  <c r="O268" i="4"/>
  <c r="I223" i="4"/>
  <c r="I31" i="4"/>
  <c r="H587" i="9"/>
  <c r="K221" i="4"/>
  <c r="J204" i="4"/>
  <c r="J205" i="4" s="1"/>
  <c r="M14" i="4"/>
  <c r="M304" i="4" s="1"/>
  <c r="I587" i="9"/>
  <c r="J221" i="4"/>
  <c r="K19" i="4"/>
  <c r="K204" i="4"/>
  <c r="K205" i="4" s="1"/>
  <c r="O311" i="4"/>
  <c r="K222" i="4"/>
  <c r="J19" i="4"/>
  <c r="K587" i="9"/>
  <c r="H255" i="4"/>
  <c r="H258" i="4" s="1"/>
  <c r="J222" i="4"/>
  <c r="J227" i="4" s="1"/>
  <c r="M202" i="4"/>
  <c r="N31" i="4"/>
  <c r="N202" i="4"/>
  <c r="E587" i="9"/>
  <c r="I247" i="4"/>
  <c r="I253" i="4" s="1"/>
  <c r="J245" i="4"/>
  <c r="K223" i="4"/>
  <c r="L256" i="4"/>
  <c r="J256" i="4"/>
  <c r="M277" i="4"/>
  <c r="M278" i="4" s="1"/>
  <c r="I256" i="4"/>
  <c r="O247" i="4"/>
  <c r="O164" i="4"/>
  <c r="N134" i="4"/>
  <c r="I243" i="4"/>
  <c r="N247" i="4"/>
  <c r="I201" i="4"/>
  <c r="I202" i="4" s="1"/>
  <c r="O41" i="4"/>
  <c r="H202" i="4"/>
  <c r="O162" i="4"/>
  <c r="K277" i="4"/>
  <c r="K278" i="4" s="1"/>
  <c r="O165" i="4"/>
  <c r="J258" i="4"/>
  <c r="M166" i="4"/>
  <c r="M167" i="4"/>
  <c r="N160" i="4"/>
  <c r="O153" i="4"/>
  <c r="K243" i="4"/>
  <c r="J247" i="4"/>
  <c r="J250" i="4"/>
  <c r="J277" i="4"/>
  <c r="M31" i="4"/>
  <c r="M255" i="4"/>
  <c r="O252" i="4"/>
  <c r="J243" i="4"/>
  <c r="G199" i="4"/>
  <c r="D588" i="9" s="1"/>
  <c r="H134" i="4"/>
  <c r="O307" i="4"/>
  <c r="K258" i="4"/>
  <c r="L245" i="4"/>
  <c r="N172" i="4"/>
  <c r="N175" i="4" s="1"/>
  <c r="M175" i="4"/>
  <c r="I258" i="4"/>
  <c r="M205" i="4"/>
  <c r="M199" i="4"/>
  <c r="J588" i="9" s="1"/>
  <c r="J134" i="4"/>
  <c r="K134" i="4"/>
  <c r="K133" i="4"/>
  <c r="L133" i="4"/>
  <c r="H14" i="4"/>
  <c r="H304" i="4" s="1"/>
  <c r="H222" i="4"/>
  <c r="H17" i="4"/>
  <c r="H223" i="4"/>
  <c r="H19" i="4"/>
  <c r="H204" i="4"/>
  <c r="H205" i="4" s="1"/>
  <c r="J14" i="4"/>
  <c r="J304" i="4" s="1"/>
  <c r="J201" i="4"/>
  <c r="J202" i="4" s="1"/>
  <c r="G277" i="4"/>
  <c r="M243" i="4"/>
  <c r="L247" i="4"/>
  <c r="L250" i="4"/>
  <c r="L258" i="4"/>
  <c r="O277" i="4"/>
  <c r="L243" i="4"/>
  <c r="O230" i="4"/>
  <c r="O236" i="4" s="1"/>
  <c r="N231" i="4"/>
  <c r="M231" i="4" s="1"/>
  <c r="L231" i="4" s="1"/>
  <c r="K231" i="4" s="1"/>
  <c r="J231" i="4" s="1"/>
  <c r="I133" i="4"/>
  <c r="L224" i="4"/>
  <c r="L225" i="4" s="1"/>
  <c r="N222" i="4"/>
  <c r="N227" i="4" s="1"/>
  <c r="N14" i="4"/>
  <c r="N304" i="4" s="1"/>
  <c r="K306" i="4"/>
  <c r="N258" i="4"/>
  <c r="M250" i="4"/>
  <c r="M247" i="4"/>
  <c r="M253" i="4" s="1"/>
  <c r="N204" i="4"/>
  <c r="N205" i="4" s="1"/>
  <c r="I224" i="4" l="1"/>
  <c r="I225" i="4" s="1"/>
  <c r="I227" i="4"/>
  <c r="M227" i="4"/>
  <c r="M224" i="4"/>
  <c r="M225" i="4" s="1"/>
  <c r="K230" i="4"/>
  <c r="K236" i="4" s="1"/>
  <c r="K224" i="4"/>
  <c r="K225" i="4" s="1"/>
  <c r="H256" i="4"/>
  <c r="L230" i="4"/>
  <c r="L236" i="4" s="1"/>
  <c r="K227" i="4"/>
  <c r="J224" i="4"/>
  <c r="J225" i="4" s="1"/>
  <c r="N224" i="4"/>
  <c r="N225" i="4" s="1"/>
  <c r="N253" i="4"/>
  <c r="H227" i="4"/>
  <c r="H224" i="4"/>
  <c r="H225" i="4" s="1"/>
  <c r="N230" i="4"/>
  <c r="N236" i="4" s="1"/>
  <c r="O253" i="4"/>
  <c r="O285" i="4"/>
  <c r="J253" i="4"/>
  <c r="O278" i="4"/>
  <c r="L253" i="4"/>
  <c r="M256" i="4"/>
  <c r="M258" i="4"/>
  <c r="N166" i="4"/>
  <c r="N167" i="4"/>
  <c r="O160" i="4"/>
  <c r="O167" i="4" s="1"/>
  <c r="G278" i="4"/>
  <c r="I231" i="4"/>
  <c r="J230" i="4"/>
  <c r="J236" i="4" s="1"/>
  <c r="J278" i="4"/>
  <c r="M168" i="4"/>
  <c r="O172" i="4"/>
  <c r="O175" i="4" s="1"/>
  <c r="M230" i="4"/>
  <c r="M236" i="4" s="1"/>
  <c r="N168" i="4" l="1"/>
  <c r="H231" i="4"/>
  <c r="I230" i="4"/>
  <c r="I236" i="4" s="1"/>
  <c r="H230" i="4" l="1"/>
  <c r="H236" i="4" s="1"/>
  <c r="G231" i="4"/>
  <c r="G230" i="4" s="1"/>
  <c r="G236" i="4" s="1"/>
  <c r="W126" i="4" l="1"/>
  <c r="W127" i="4" s="1"/>
  <c r="V127" i="4"/>
  <c r="U127" i="4"/>
  <c r="T127" i="4"/>
  <c r="R127" i="4"/>
  <c r="S130" i="4" s="1"/>
  <c r="S126" i="4"/>
  <c r="S127" i="4" s="1"/>
  <c r="P128" i="4"/>
  <c r="Q128" i="4"/>
  <c r="D547" i="9"/>
  <c r="C542" i="9"/>
  <c r="B544" i="9"/>
  <c r="B543" i="9"/>
  <c r="T130" i="4" l="1"/>
  <c r="U130" i="4" s="1"/>
  <c r="V130" i="4" s="1"/>
  <c r="W130" i="4" s="1"/>
  <c r="D534" i="9"/>
  <c r="V168" i="4"/>
  <c r="U168" i="4"/>
  <c r="T168" i="4"/>
  <c r="R168" i="4"/>
  <c r="W166" i="4"/>
  <c r="Q173" i="4"/>
  <c r="Q172" i="4"/>
  <c r="C180" i="4"/>
  <c r="P175" i="4"/>
  <c r="P167" i="4"/>
  <c r="C168" i="4"/>
  <c r="C167" i="4"/>
  <c r="C175" i="4"/>
  <c r="C174" i="4"/>
  <c r="C173" i="4"/>
  <c r="C172" i="4"/>
  <c r="H186" i="1"/>
  <c r="I186" i="1" s="1"/>
  <c r="J186" i="1" s="1"/>
  <c r="K186" i="1" s="1"/>
  <c r="L186" i="1" s="1"/>
  <c r="M186" i="1" s="1"/>
  <c r="N186" i="1" s="1"/>
  <c r="O186" i="1" s="1"/>
  <c r="G178" i="1"/>
  <c r="H178" i="1"/>
  <c r="I178" i="1" s="1"/>
  <c r="J178" i="1" s="1"/>
  <c r="K178" i="1" s="1"/>
  <c r="L178" i="1" s="1"/>
  <c r="M178" i="1" s="1"/>
  <c r="N178" i="1" s="1"/>
  <c r="O178" i="1" s="1"/>
  <c r="O179" i="1" s="1"/>
  <c r="G138" i="1"/>
  <c r="F138" i="1"/>
  <c r="E138" i="1"/>
  <c r="D138" i="1"/>
  <c r="C138" i="1"/>
  <c r="F141" i="1"/>
  <c r="E141" i="1"/>
  <c r="D141" i="1"/>
  <c r="C141" i="1"/>
  <c r="G141" i="1"/>
  <c r="C543" i="9" s="1"/>
  <c r="P124" i="4"/>
  <c r="F124" i="4"/>
  <c r="G134" i="4" s="1"/>
  <c r="E124" i="4"/>
  <c r="D124" i="4"/>
  <c r="P123" i="4"/>
  <c r="F123" i="4"/>
  <c r="G133" i="4" s="1"/>
  <c r="E123" i="4"/>
  <c r="D123" i="4"/>
  <c r="Q124" i="4"/>
  <c r="Q123" i="4"/>
  <c r="O146" i="1"/>
  <c r="N146" i="1"/>
  <c r="M146" i="1"/>
  <c r="L146" i="1"/>
  <c r="K146" i="1"/>
  <c r="J146" i="1"/>
  <c r="I146" i="1"/>
  <c r="AN121" i="2"/>
  <c r="H147" i="1"/>
  <c r="W153" i="4"/>
  <c r="W150" i="4"/>
  <c r="Q177" i="4"/>
  <c r="Q165" i="4"/>
  <c r="Q164" i="4"/>
  <c r="Q163" i="4"/>
  <c r="Q162" i="4"/>
  <c r="Q161" i="4"/>
  <c r="Q160" i="4"/>
  <c r="Q157" i="4"/>
  <c r="S157" i="4" s="1"/>
  <c r="Q153" i="4"/>
  <c r="S153" i="4" s="1"/>
  <c r="Q151" i="4"/>
  <c r="S151" i="4" s="1"/>
  <c r="Q150" i="4"/>
  <c r="P166" i="4"/>
  <c r="C178" i="4"/>
  <c r="C177" i="4"/>
  <c r="C170" i="4"/>
  <c r="C166" i="4"/>
  <c r="C165" i="4"/>
  <c r="C164" i="4"/>
  <c r="C163" i="4"/>
  <c r="C162" i="4"/>
  <c r="C161" i="4"/>
  <c r="C160" i="4"/>
  <c r="C159" i="4"/>
  <c r="E534" i="9" l="1"/>
  <c r="D542" i="9"/>
  <c r="Q167" i="4"/>
  <c r="S167" i="4" s="1"/>
  <c r="W175" i="4"/>
  <c r="W167" i="4"/>
  <c r="P168" i="4"/>
  <c r="Q166" i="4"/>
  <c r="S166" i="4" s="1"/>
  <c r="I179" i="1"/>
  <c r="J179" i="1"/>
  <c r="W168" i="4" s="1"/>
  <c r="K179" i="1"/>
  <c r="M179" i="1"/>
  <c r="N179" i="1"/>
  <c r="L179" i="1"/>
  <c r="F534" i="9" l="1"/>
  <c r="E542" i="9"/>
  <c r="Q168" i="4"/>
  <c r="S168" i="4" s="1"/>
  <c r="G534" i="9" l="1"/>
  <c r="F542" i="9"/>
  <c r="W156" i="4"/>
  <c r="V156" i="4"/>
  <c r="U156" i="4"/>
  <c r="T156" i="4"/>
  <c r="V155" i="4"/>
  <c r="U155" i="4"/>
  <c r="T155" i="4"/>
  <c r="R155" i="4"/>
  <c r="V154" i="4"/>
  <c r="U154" i="4"/>
  <c r="T154" i="4"/>
  <c r="R154" i="4"/>
  <c r="V149" i="4"/>
  <c r="U149" i="4"/>
  <c r="T149" i="4"/>
  <c r="R149" i="4"/>
  <c r="I124" i="1"/>
  <c r="I165" i="1" s="1"/>
  <c r="C157" i="4"/>
  <c r="C156" i="4"/>
  <c r="C155" i="4"/>
  <c r="C154" i="4"/>
  <c r="C153" i="4"/>
  <c r="C152" i="4"/>
  <c r="C151" i="4"/>
  <c r="C150" i="4"/>
  <c r="C149" i="4"/>
  <c r="C148" i="4"/>
  <c r="C147" i="4"/>
  <c r="C38" i="15"/>
  <c r="C28" i="15"/>
  <c r="B104" i="1"/>
  <c r="C104" i="1"/>
  <c r="D104" i="1"/>
  <c r="E104" i="1"/>
  <c r="F104" i="1"/>
  <c r="G104" i="1"/>
  <c r="H104" i="1"/>
  <c r="W144" i="4"/>
  <c r="XFD140" i="4"/>
  <c r="XFD138" i="4"/>
  <c r="V143" i="4"/>
  <c r="V152" i="4" s="1"/>
  <c r="U143" i="4"/>
  <c r="U152" i="4" s="1"/>
  <c r="T143" i="4"/>
  <c r="T152" i="4" s="1"/>
  <c r="R143" i="4"/>
  <c r="R152" i="4" s="1"/>
  <c r="V142" i="4"/>
  <c r="U142" i="4"/>
  <c r="T142" i="4"/>
  <c r="R142" i="4"/>
  <c r="Q139" i="4"/>
  <c r="Q149" i="4" s="1"/>
  <c r="Q138" i="4"/>
  <c r="R145" i="4"/>
  <c r="C145" i="4"/>
  <c r="C144" i="4"/>
  <c r="C143" i="4"/>
  <c r="C142" i="4"/>
  <c r="C140" i="4"/>
  <c r="C139" i="4"/>
  <c r="C138" i="4"/>
  <c r="O165" i="1"/>
  <c r="N165" i="1"/>
  <c r="M165" i="1"/>
  <c r="L165" i="1"/>
  <c r="K165" i="1"/>
  <c r="J165" i="1"/>
  <c r="G177" i="1"/>
  <c r="G179" i="1" s="1"/>
  <c r="H177" i="1"/>
  <c r="O166" i="4" s="1"/>
  <c r="J168" i="1"/>
  <c r="O167" i="1"/>
  <c r="N167" i="1"/>
  <c r="M167" i="1"/>
  <c r="L167" i="1"/>
  <c r="K167" i="1"/>
  <c r="J167" i="1"/>
  <c r="I167" i="1"/>
  <c r="W151" i="4"/>
  <c r="I161" i="1"/>
  <c r="F101" i="1"/>
  <c r="E101" i="1"/>
  <c r="D101" i="1"/>
  <c r="C101" i="1"/>
  <c r="H534" i="9" l="1"/>
  <c r="H542" i="9" s="1"/>
  <c r="G542" i="9"/>
  <c r="O168" i="4"/>
  <c r="H179" i="1"/>
  <c r="K168" i="1"/>
  <c r="L168" i="1" s="1"/>
  <c r="M168" i="1" s="1"/>
  <c r="N168" i="1" s="1"/>
  <c r="O168" i="1" s="1"/>
  <c r="W157" i="4"/>
  <c r="K161" i="1"/>
  <c r="L161" i="1" s="1"/>
  <c r="M161" i="1" s="1"/>
  <c r="N161" i="1" s="1"/>
  <c r="O161" i="1" s="1"/>
  <c r="S150" i="4"/>
  <c r="R138" i="4"/>
  <c r="D28" i="15" s="1"/>
  <c r="M416" i="9"/>
  <c r="M413" i="9"/>
  <c r="L418" i="9"/>
  <c r="F418" i="9"/>
  <c r="M418" i="9" l="1"/>
  <c r="G418" i="9"/>
  <c r="L416" i="9"/>
  <c r="G416" i="9"/>
  <c r="L413" i="9" l="1"/>
  <c r="G413" i="9" l="1"/>
  <c r="G415" i="9"/>
  <c r="S249" i="4"/>
  <c r="Q249" i="4"/>
  <c r="P249" i="4"/>
  <c r="C39" i="15" l="1"/>
  <c r="B39" i="15"/>
  <c r="B37" i="15"/>
  <c r="C29" i="15"/>
  <c r="C37" i="15"/>
  <c r="C27" i="15"/>
  <c r="R14" i="13"/>
  <c r="C30" i="15" l="1"/>
  <c r="C40" i="15"/>
  <c r="K30" i="17"/>
  <c r="K278" i="1"/>
  <c r="L278" i="1" s="1"/>
  <c r="M278" i="1" s="1"/>
  <c r="N278" i="1" s="1"/>
  <c r="O278" i="1" s="1"/>
  <c r="I278" i="1"/>
  <c r="J30" i="17" s="1"/>
  <c r="H278" i="1"/>
  <c r="J20" i="17"/>
  <c r="J21" i="17"/>
  <c r="L30" i="17" l="1"/>
  <c r="M30" i="17"/>
  <c r="N30" i="17" s="1"/>
  <c r="C4" i="17"/>
  <c r="N3" i="17"/>
  <c r="J3" i="17"/>
  <c r="I3" i="17"/>
  <c r="D3" i="17"/>
  <c r="E3" i="17" s="1"/>
  <c r="L3" i="17" l="1"/>
  <c r="F3" i="17"/>
  <c r="M3" i="17" s="1"/>
  <c r="K3" i="17"/>
  <c r="H529" i="9" l="1"/>
  <c r="G529" i="9"/>
  <c r="F529" i="9"/>
  <c r="E529" i="9"/>
  <c r="D529" i="9"/>
  <c r="C529" i="9"/>
  <c r="F18" i="10"/>
  <c r="G18" i="10" s="1"/>
  <c r="C509" i="9"/>
  <c r="D211" i="4"/>
  <c r="C437" i="7"/>
  <c r="C436" i="7"/>
  <c r="C435" i="7"/>
  <c r="C434" i="7"/>
  <c r="C433" i="7"/>
  <c r="C432" i="7"/>
  <c r="K442" i="7"/>
  <c r="K443" i="7"/>
  <c r="E532" i="7"/>
  <c r="F532" i="7" s="1"/>
  <c r="G532" i="7" s="1"/>
  <c r="H532" i="7" s="1"/>
  <c r="K238" i="7"/>
  <c r="K240" i="7"/>
  <c r="M160" i="7"/>
  <c r="B529" i="7" a="1"/>
  <c r="F529" i="7" a="1"/>
  <c r="D529" i="7" a="1"/>
  <c r="R277" i="7" a="1"/>
  <c r="J529" i="7" a="1"/>
  <c r="H529" i="7" a="1"/>
  <c r="G529" i="7" a="1"/>
  <c r="E529" i="7" a="1"/>
  <c r="C529" i="7" a="1"/>
  <c r="I529" i="7" a="1"/>
  <c r="K444" i="7" l="1"/>
  <c r="G529" i="7"/>
  <c r="H529" i="7"/>
  <c r="E529" i="7"/>
  <c r="J529" i="7"/>
  <c r="I529" i="7"/>
  <c r="F529" i="7"/>
  <c r="C529" i="7"/>
  <c r="B529" i="7"/>
  <c r="D529" i="7"/>
  <c r="R277" i="7"/>
  <c r="B534" i="7" l="1"/>
  <c r="I530" i="7"/>
  <c r="J530" i="7"/>
  <c r="C530" i="7"/>
  <c r="C534" i="7"/>
  <c r="F534" i="7"/>
  <c r="F530" i="7"/>
  <c r="E534" i="7"/>
  <c r="E530" i="7"/>
  <c r="H534" i="7"/>
  <c r="H530" i="7"/>
  <c r="D534" i="7"/>
  <c r="D530" i="7"/>
  <c r="G534" i="7"/>
  <c r="G530" i="7"/>
  <c r="K291" i="7"/>
  <c r="F175" i="7"/>
  <c r="L174" i="7"/>
  <c r="L175" i="7" s="1"/>
  <c r="G299" i="7"/>
  <c r="F299" i="7"/>
  <c r="E299" i="7"/>
  <c r="D299" i="7"/>
  <c r="C299" i="7"/>
  <c r="G296" i="7"/>
  <c r="G298" i="7" s="1"/>
  <c r="F296" i="7"/>
  <c r="F298" i="7" s="1"/>
  <c r="D298" i="7"/>
  <c r="C298" i="7"/>
  <c r="E298" i="7"/>
  <c r="J299" i="7"/>
  <c r="I299" i="7"/>
  <c r="H299" i="7"/>
  <c r="K299" i="7"/>
  <c r="J298" i="7"/>
  <c r="I298" i="7"/>
  <c r="H298" i="7"/>
  <c r="K298" i="7"/>
  <c r="I534" i="7" l="1"/>
  <c r="A506" i="7"/>
  <c r="I205" i="7"/>
  <c r="I204" i="7"/>
  <c r="E205" i="7"/>
  <c r="K205" i="7"/>
  <c r="E204" i="7"/>
  <c r="K204" i="7"/>
  <c r="E193" i="7"/>
  <c r="E203" i="7" s="1"/>
  <c r="E192" i="7"/>
  <c r="E191" i="7"/>
  <c r="E190" i="7"/>
  <c r="E189" i="7"/>
  <c r="K193" i="7"/>
  <c r="K192" i="7"/>
  <c r="K191" i="7"/>
  <c r="K190" i="7"/>
  <c r="K189" i="7"/>
  <c r="C203" i="7"/>
  <c r="B203" i="7"/>
  <c r="D203" i="7"/>
  <c r="J203" i="7"/>
  <c r="K180" i="7"/>
  <c r="L180" i="7" s="1"/>
  <c r="F160" i="7"/>
  <c r="L160" i="7"/>
  <c r="N160" i="7" s="1"/>
  <c r="I192" i="7"/>
  <c r="I191" i="7"/>
  <c r="I190" i="7"/>
  <c r="K185" i="7"/>
  <c r="Z185" i="7" s="1"/>
  <c r="E185" i="7"/>
  <c r="F185" i="7" s="1"/>
  <c r="E180" i="7"/>
  <c r="F180" i="7" s="1"/>
  <c r="K179" i="7"/>
  <c r="Z179" i="7" s="1"/>
  <c r="E179" i="7"/>
  <c r="F179" i="7" s="1"/>
  <c r="I179" i="7" s="1"/>
  <c r="F203" i="7" l="1"/>
  <c r="I203" i="7" s="1"/>
  <c r="I193" i="7"/>
  <c r="L195" i="7"/>
  <c r="L185" i="7"/>
  <c r="I185" i="7"/>
  <c r="I189" i="7"/>
  <c r="F195" i="7"/>
  <c r="F200" i="7" s="1"/>
  <c r="K203" i="7"/>
  <c r="L203" i="7" s="1"/>
  <c r="X179" i="7"/>
  <c r="L179" i="7"/>
  <c r="I180" i="7"/>
  <c r="Z180" i="7"/>
  <c r="K195" i="7"/>
  <c r="K200" i="7" s="1"/>
  <c r="R185" i="7"/>
  <c r="E195" i="7"/>
  <c r="E200" i="7" s="1"/>
  <c r="E207" i="7" s="1"/>
  <c r="X180" i="7"/>
  <c r="X185" i="7"/>
  <c r="K277" i="7"/>
  <c r="K287" i="7" s="1"/>
  <c r="Z271" i="7"/>
  <c r="Z270" i="7"/>
  <c r="Z266" i="7"/>
  <c r="Z264" i="7"/>
  <c r="Z263" i="7"/>
  <c r="K303" i="7"/>
  <c r="K300" i="7"/>
  <c r="K276" i="7"/>
  <c r="K272" i="7"/>
  <c r="K273" i="7" s="1"/>
  <c r="Z230" i="7"/>
  <c r="K268" i="7"/>
  <c r="K265" i="7"/>
  <c r="K260" i="7"/>
  <c r="K259" i="7"/>
  <c r="K258" i="7"/>
  <c r="K257" i="7"/>
  <c r="K246" i="7"/>
  <c r="K245" i="7"/>
  <c r="K244" i="7"/>
  <c r="K243" i="7"/>
  <c r="E167" i="7"/>
  <c r="K167" i="7"/>
  <c r="L167" i="7" s="1"/>
  <c r="R158" i="7"/>
  <c r="AE158" i="7"/>
  <c r="E159" i="7"/>
  <c r="K159" i="7"/>
  <c r="K72" i="7"/>
  <c r="K73" i="7"/>
  <c r="K441" i="7"/>
  <c r="K476" i="7" s="1"/>
  <c r="K499" i="7" s="1"/>
  <c r="K504" i="7" s="1"/>
  <c r="H474" i="9"/>
  <c r="H472" i="9"/>
  <c r="C478" i="9"/>
  <c r="C484" i="9" s="1"/>
  <c r="F466" i="9"/>
  <c r="F468" i="9" s="1"/>
  <c r="E466" i="9"/>
  <c r="E468" i="9" s="1"/>
  <c r="D466" i="9"/>
  <c r="D468" i="9" s="1"/>
  <c r="G463" i="9"/>
  <c r="F463" i="9" s="1"/>
  <c r="E463" i="9" s="1"/>
  <c r="E464" i="9" s="1"/>
  <c r="G462" i="9"/>
  <c r="F462" i="9" s="1"/>
  <c r="E462" i="9" s="1"/>
  <c r="D462" i="9" s="1"/>
  <c r="C462" i="9" s="1"/>
  <c r="C444" i="9"/>
  <c r="C441" i="9"/>
  <c r="C448" i="9" s="1"/>
  <c r="C446" i="9" s="1"/>
  <c r="D446" i="9" s="1"/>
  <c r="C443" i="9"/>
  <c r="F436" i="9"/>
  <c r="D431" i="9"/>
  <c r="E431" i="9" s="1"/>
  <c r="F431" i="9" s="1"/>
  <c r="T136" i="4"/>
  <c r="V136" i="4"/>
  <c r="U136" i="4"/>
  <c r="F207" i="7" l="1"/>
  <c r="F210" i="7" s="1"/>
  <c r="K288" i="7"/>
  <c r="K285" i="7"/>
  <c r="K301" i="7"/>
  <c r="K505" i="7" s="1"/>
  <c r="L186" i="7"/>
  <c r="M186" i="7" s="1"/>
  <c r="E208" i="7"/>
  <c r="E210" i="7"/>
  <c r="E211" i="7" s="1"/>
  <c r="G506" i="7" s="1"/>
  <c r="I195" i="7"/>
  <c r="I200" i="7" s="1"/>
  <c r="I207" i="7" s="1"/>
  <c r="I210" i="7" s="1"/>
  <c r="K207" i="7"/>
  <c r="L200" i="7"/>
  <c r="K201" i="7"/>
  <c r="E201" i="7"/>
  <c r="L181" i="7"/>
  <c r="E183" i="7"/>
  <c r="F167" i="7"/>
  <c r="F186" i="7" s="1"/>
  <c r="E181" i="7"/>
  <c r="E186" i="7"/>
  <c r="G502" i="7" s="1"/>
  <c r="K168" i="7"/>
  <c r="K183" i="7"/>
  <c r="Z159" i="7"/>
  <c r="L159" i="7"/>
  <c r="X159" i="7"/>
  <c r="F159" i="7"/>
  <c r="K186" i="7"/>
  <c r="K502" i="7" s="1"/>
  <c r="K181" i="7"/>
  <c r="K281" i="7"/>
  <c r="E469" i="9"/>
  <c r="K274" i="7"/>
  <c r="E168" i="7"/>
  <c r="K267" i="7"/>
  <c r="C438" i="7" s="1"/>
  <c r="Z167" i="7"/>
  <c r="K261" i="7"/>
  <c r="K279" i="7"/>
  <c r="K500" i="7" s="1"/>
  <c r="X167" i="7"/>
  <c r="R167" i="7"/>
  <c r="R159" i="7"/>
  <c r="K479" i="7" s="1"/>
  <c r="D470" i="9"/>
  <c r="E470" i="9"/>
  <c r="F469" i="9"/>
  <c r="F470" i="9"/>
  <c r="F472" i="9"/>
  <c r="G472" i="9"/>
  <c r="D443" i="9"/>
  <c r="C445" i="9"/>
  <c r="D445" i="9" s="1"/>
  <c r="D444" i="9"/>
  <c r="I413" i="9"/>
  <c r="D410" i="9"/>
  <c r="H402" i="9"/>
  <c r="E396" i="9"/>
  <c r="G396" i="9"/>
  <c r="I396" i="9"/>
  <c r="D400" i="9"/>
  <c r="F400" i="9"/>
  <c r="N404" i="9"/>
  <c r="O404" i="9" s="1"/>
  <c r="N405" i="9"/>
  <c r="F170" i="9"/>
  <c r="G170" i="9"/>
  <c r="H170" i="9"/>
  <c r="C356" i="9"/>
  <c r="J356" i="9"/>
  <c r="G356" i="9"/>
  <c r="AE159" i="7" l="1"/>
  <c r="C320" i="7" s="1"/>
  <c r="I159" i="7"/>
  <c r="F162" i="7"/>
  <c r="L168" i="7"/>
  <c r="L162" i="7"/>
  <c r="F211" i="7"/>
  <c r="K208" i="7"/>
  <c r="K210" i="7"/>
  <c r="K211" i="7" s="1"/>
  <c r="K506" i="7" s="1"/>
  <c r="L207" i="7"/>
  <c r="L201" i="7"/>
  <c r="F208" i="7"/>
  <c r="I167" i="7"/>
  <c r="I186" i="7" s="1"/>
  <c r="I502" i="7" s="1"/>
  <c r="H502" i="7" s="1"/>
  <c r="F201" i="7"/>
  <c r="F168" i="7"/>
  <c r="F181" i="7"/>
  <c r="X183" i="7"/>
  <c r="F183" i="7"/>
  <c r="I183" i="7" s="1"/>
  <c r="Z183" i="7"/>
  <c r="L183" i="7"/>
  <c r="Z168" i="7"/>
  <c r="X168" i="7"/>
  <c r="AE167" i="7"/>
  <c r="O402" i="9"/>
  <c r="P402" i="9" s="1"/>
  <c r="AM66" i="8"/>
  <c r="AN66" i="8"/>
  <c r="AH64" i="8"/>
  <c r="K249" i="4" s="1"/>
  <c r="K250" i="4" s="1"/>
  <c r="AF64" i="8"/>
  <c r="I249" i="4" s="1"/>
  <c r="I250" i="4" s="1"/>
  <c r="C357" i="9"/>
  <c r="C353" i="9"/>
  <c r="C352" i="9"/>
  <c r="D353" i="9"/>
  <c r="D352" i="9"/>
  <c r="E357" i="9"/>
  <c r="E353" i="9"/>
  <c r="E352" i="9"/>
  <c r="F353" i="9"/>
  <c r="F352" i="9"/>
  <c r="K357" i="9"/>
  <c r="J357" i="9"/>
  <c r="I357" i="9"/>
  <c r="H357" i="9"/>
  <c r="G357" i="9"/>
  <c r="L357" i="9"/>
  <c r="K353" i="9"/>
  <c r="J353" i="9"/>
  <c r="I353" i="9"/>
  <c r="H353" i="9"/>
  <c r="G353" i="9"/>
  <c r="L353" i="9"/>
  <c r="L352" i="9"/>
  <c r="K352" i="9"/>
  <c r="J352" i="9"/>
  <c r="I352" i="9"/>
  <c r="H352" i="9"/>
  <c r="G352" i="9"/>
  <c r="D357" i="9" l="1"/>
  <c r="F357" i="9"/>
  <c r="M167" i="7"/>
  <c r="M185" i="7" s="1"/>
  <c r="N185" i="7" s="1"/>
  <c r="AA185" i="7" s="1"/>
  <c r="B217" i="7" s="1"/>
  <c r="B219" i="7" s="1"/>
  <c r="B220" i="7" s="1"/>
  <c r="I211" i="7"/>
  <c r="H506" i="7" s="1"/>
  <c r="I506" i="7" s="1"/>
  <c r="L208" i="7"/>
  <c r="L210" i="7"/>
  <c r="L211" i="7" s="1"/>
  <c r="I208" i="7"/>
  <c r="I201" i="7"/>
  <c r="I168" i="7"/>
  <c r="I181" i="7"/>
  <c r="O403" i="9"/>
  <c r="O405" i="9" s="1"/>
  <c r="I332" i="1"/>
  <c r="M64" i="10" l="1"/>
  <c r="M63" i="10"/>
  <c r="M62" i="10"/>
  <c r="M60" i="10"/>
  <c r="M59" i="10"/>
  <c r="L280" i="9"/>
  <c r="H169" i="16" l="1"/>
  <c r="G169" i="16"/>
  <c r="H161" i="16"/>
  <c r="G161" i="16"/>
  <c r="H119" i="16"/>
  <c r="I119" i="16" s="1"/>
  <c r="G119" i="16"/>
  <c r="H157" i="16"/>
  <c r="G157" i="16"/>
  <c r="G153" i="16"/>
  <c r="J20" i="16"/>
  <c r="K20" i="16" s="1"/>
  <c r="L20" i="16" s="1"/>
  <c r="M20" i="16" s="1"/>
  <c r="N20" i="16" s="1"/>
  <c r="O20" i="16" s="1"/>
  <c r="H19" i="16"/>
  <c r="H21" i="16" s="1"/>
  <c r="H153" i="16" s="1"/>
  <c r="H149" i="16"/>
  <c r="G149" i="16"/>
  <c r="B153" i="16"/>
  <c r="B152" i="16"/>
  <c r="I145" i="16"/>
  <c r="H145" i="16"/>
  <c r="G145" i="16"/>
  <c r="B161" i="16"/>
  <c r="B165" i="16" s="1"/>
  <c r="B169" i="16" s="1"/>
  <c r="B173" i="16" s="1"/>
  <c r="B160" i="16"/>
  <c r="B164" i="16" s="1"/>
  <c r="B168" i="16" s="1"/>
  <c r="B172" i="16" s="1"/>
  <c r="J123" i="16"/>
  <c r="K123" i="16" s="1"/>
  <c r="L123" i="16" s="1"/>
  <c r="M123" i="16" s="1"/>
  <c r="N123" i="16" s="1"/>
  <c r="O123" i="16" s="1"/>
  <c r="J68" i="16" l="1"/>
  <c r="K68" i="16" s="1"/>
  <c r="J54" i="16"/>
  <c r="K53" i="16"/>
  <c r="L53" i="16" s="1"/>
  <c r="M53" i="16" s="1"/>
  <c r="N53" i="16" s="1"/>
  <c r="O53" i="16" s="1"/>
  <c r="O54" i="16" s="1"/>
  <c r="H54" i="16"/>
  <c r="I54" i="16"/>
  <c r="J2" i="16"/>
  <c r="I113" i="16"/>
  <c r="J113" i="16" s="1"/>
  <c r="K113" i="16" s="1"/>
  <c r="L113" i="16" s="1"/>
  <c r="M113" i="16" s="1"/>
  <c r="N113" i="16" s="1"/>
  <c r="O113" i="16" s="1"/>
  <c r="H114" i="16"/>
  <c r="H103" i="16"/>
  <c r="I103" i="16" s="1"/>
  <c r="J103" i="16" s="1"/>
  <c r="K103" i="16" s="1"/>
  <c r="G103" i="16"/>
  <c r="H101" i="16"/>
  <c r="I101" i="16" s="1"/>
  <c r="J101" i="16" s="1"/>
  <c r="K101" i="16" s="1"/>
  <c r="G101" i="16"/>
  <c r="G122" i="16"/>
  <c r="G123" i="16" s="1"/>
  <c r="H122" i="16"/>
  <c r="H123" i="16" s="1"/>
  <c r="G115" i="16"/>
  <c r="H115" i="16"/>
  <c r="I115" i="16" s="1"/>
  <c r="H17" i="16"/>
  <c r="G17" i="16"/>
  <c r="F17" i="16"/>
  <c r="E17" i="16"/>
  <c r="N60" i="16"/>
  <c r="J60" i="16" s="1"/>
  <c r="K60" i="16" s="1"/>
  <c r="L60" i="16" s="1"/>
  <c r="M60" i="16" s="1"/>
  <c r="O60" i="16" s="1"/>
  <c r="I112" i="16" l="1"/>
  <c r="K2" i="16"/>
  <c r="J145" i="16"/>
  <c r="L103" i="16"/>
  <c r="L101" i="16"/>
  <c r="J115" i="16"/>
  <c r="L68" i="16"/>
  <c r="L54" i="16"/>
  <c r="K54" i="16"/>
  <c r="M54" i="16"/>
  <c r="N54" i="16"/>
  <c r="H116" i="16"/>
  <c r="L2" i="16" l="1"/>
  <c r="K145" i="16"/>
  <c r="M101" i="16"/>
  <c r="J112" i="16"/>
  <c r="K115" i="16"/>
  <c r="M103" i="16"/>
  <c r="M68" i="16"/>
  <c r="M2" i="16" l="1"/>
  <c r="L145" i="16"/>
  <c r="L115" i="16"/>
  <c r="K112" i="16"/>
  <c r="N103" i="16"/>
  <c r="N101" i="16"/>
  <c r="N68" i="16"/>
  <c r="N2" i="16" l="1"/>
  <c r="M145" i="16"/>
  <c r="O101" i="16"/>
  <c r="O103" i="16"/>
  <c r="L112" i="16"/>
  <c r="M115" i="16"/>
  <c r="O68" i="16"/>
  <c r="O2" i="16" l="1"/>
  <c r="O145" i="16" s="1"/>
  <c r="N145" i="16"/>
  <c r="N115" i="16"/>
  <c r="M112" i="16"/>
  <c r="N112" i="16" l="1"/>
  <c r="O115" i="16"/>
  <c r="O112" i="16" l="1"/>
  <c r="H69" i="16" l="1"/>
  <c r="G69" i="16"/>
  <c r="G73" i="16"/>
  <c r="H49" i="16"/>
  <c r="I49" i="16" s="1"/>
  <c r="J49" i="16" s="1"/>
  <c r="I3" i="16"/>
  <c r="Q6" i="16"/>
  <c r="H6" i="16"/>
  <c r="H120" i="16" s="1"/>
  <c r="H126" i="16" s="1"/>
  <c r="G126" i="16"/>
  <c r="G105" i="16"/>
  <c r="G107" i="16" s="1"/>
  <c r="G108" i="16" s="1"/>
  <c r="G165" i="16" s="1"/>
  <c r="H105" i="16"/>
  <c r="H107" i="16" s="1"/>
  <c r="G98" i="16"/>
  <c r="H98" i="16"/>
  <c r="G41" i="16"/>
  <c r="G92" i="16"/>
  <c r="G93" i="16" s="1"/>
  <c r="H92" i="16"/>
  <c r="H93" i="16" s="1"/>
  <c r="G84" i="16"/>
  <c r="G85" i="16" s="1"/>
  <c r="H84" i="16"/>
  <c r="H85" i="16" s="1"/>
  <c r="I85" i="16" s="1"/>
  <c r="J85" i="16" s="1"/>
  <c r="K85" i="16" s="1"/>
  <c r="L85" i="16" s="1"/>
  <c r="M85" i="16" s="1"/>
  <c r="N85" i="16" s="1"/>
  <c r="O85" i="16" s="1"/>
  <c r="H38" i="16"/>
  <c r="H39" i="16" s="1"/>
  <c r="I39" i="16" s="1"/>
  <c r="J39" i="16" s="1"/>
  <c r="K39" i="16" s="1"/>
  <c r="L39" i="16" s="1"/>
  <c r="M39" i="16" s="1"/>
  <c r="N39" i="16" s="1"/>
  <c r="O39" i="16" s="1"/>
  <c r="G36" i="16"/>
  <c r="H90" i="16" s="1"/>
  <c r="I90" i="16" s="1"/>
  <c r="J90" i="16" s="1"/>
  <c r="H55" i="16"/>
  <c r="I55" i="16" s="1"/>
  <c r="G57" i="16"/>
  <c r="H46" i="16"/>
  <c r="G46" i="16" s="1"/>
  <c r="G45" i="16" s="1"/>
  <c r="H82" i="16" s="1"/>
  <c r="G29" i="16"/>
  <c r="G28" i="16"/>
  <c r="G26" i="16"/>
  <c r="H32" i="16"/>
  <c r="H33" i="16" s="1"/>
  <c r="G50" i="16" l="1"/>
  <c r="G51" i="16" s="1"/>
  <c r="I149" i="16"/>
  <c r="I169" i="16"/>
  <c r="K90" i="16"/>
  <c r="I56" i="16"/>
  <c r="I97" i="16" s="1"/>
  <c r="J55" i="16"/>
  <c r="I69" i="16"/>
  <c r="J3" i="16"/>
  <c r="J47" i="16" s="1"/>
  <c r="K49" i="16"/>
  <c r="I38" i="16"/>
  <c r="I36" i="16" s="1"/>
  <c r="H108" i="16"/>
  <c r="H165" i="16" s="1"/>
  <c r="H137" i="16"/>
  <c r="I47" i="16"/>
  <c r="I46" i="16" s="1"/>
  <c r="H128" i="16"/>
  <c r="H133" i="16" s="1"/>
  <c r="G40" i="16"/>
  <c r="G128" i="16"/>
  <c r="G133" i="16" s="1"/>
  <c r="G134" i="16" s="1"/>
  <c r="G173" i="16" s="1"/>
  <c r="G90" i="16"/>
  <c r="G49" i="16"/>
  <c r="H9" i="16"/>
  <c r="H23" i="16" s="1"/>
  <c r="H13" i="16"/>
  <c r="H65" i="16" s="1"/>
  <c r="H61" i="16" s="1"/>
  <c r="H63" i="16" s="1"/>
  <c r="I63" i="16" s="1"/>
  <c r="H14" i="16"/>
  <c r="I14" i="16" s="1"/>
  <c r="J14" i="16" s="1"/>
  <c r="K14" i="16" s="1"/>
  <c r="L14" i="16" s="1"/>
  <c r="M14" i="16" s="1"/>
  <c r="N14" i="16" s="1"/>
  <c r="O14" i="16" s="1"/>
  <c r="H12" i="16"/>
  <c r="H73" i="16" s="1"/>
  <c r="H71" i="16" s="1"/>
  <c r="H72" i="16" s="1"/>
  <c r="I72" i="16" s="1"/>
  <c r="H11" i="16"/>
  <c r="H41" i="16" s="1"/>
  <c r="B389" i="1"/>
  <c r="B401" i="1" s="1"/>
  <c r="B388" i="1"/>
  <c r="B400" i="1" s="1"/>
  <c r="B387" i="1"/>
  <c r="B399" i="1" s="1"/>
  <c r="B386" i="1"/>
  <c r="B398" i="1" s="1"/>
  <c r="B385" i="1"/>
  <c r="B397" i="1" s="1"/>
  <c r="G375" i="1"/>
  <c r="H353" i="1"/>
  <c r="G353" i="1"/>
  <c r="M302" i="1"/>
  <c r="N302" i="1" s="1"/>
  <c r="O302" i="1" s="1"/>
  <c r="G345" i="1"/>
  <c r="H345" i="1"/>
  <c r="G339" i="1"/>
  <c r="H339" i="1"/>
  <c r="G338" i="1"/>
  <c r="H338" i="1"/>
  <c r="J336" i="1"/>
  <c r="K336" i="1" s="1"/>
  <c r="L336" i="1" s="1"/>
  <c r="M336" i="1" s="1"/>
  <c r="N336" i="1" s="1"/>
  <c r="O336" i="1" s="1"/>
  <c r="G334" i="1"/>
  <c r="H334" i="1"/>
  <c r="I334" i="1" s="1"/>
  <c r="D15" i="9"/>
  <c r="C18" i="9"/>
  <c r="D18" i="9"/>
  <c r="F21" i="9"/>
  <c r="F25" i="9" s="1"/>
  <c r="E21" i="9"/>
  <c r="E25" i="9" s="1"/>
  <c r="I251" i="1"/>
  <c r="G307" i="1"/>
  <c r="H307" i="1"/>
  <c r="I307" i="1" s="1"/>
  <c r="J307" i="1" s="1"/>
  <c r="K307" i="1" s="1"/>
  <c r="L307" i="1" s="1"/>
  <c r="M307" i="1" s="1"/>
  <c r="N307" i="1" s="1"/>
  <c r="O307" i="1" s="1"/>
  <c r="G352" i="1"/>
  <c r="I345" i="1"/>
  <c r="J345" i="1" s="1"/>
  <c r="I339" i="1"/>
  <c r="I338" i="1"/>
  <c r="J338" i="1" s="1"/>
  <c r="K338" i="1" s="1"/>
  <c r="L338" i="1" s="1"/>
  <c r="M338" i="1" s="1"/>
  <c r="N338" i="1" s="1"/>
  <c r="O338" i="1" s="1"/>
  <c r="B349" i="1"/>
  <c r="B348" i="1"/>
  <c r="B342" i="1"/>
  <c r="B347" i="1"/>
  <c r="B346" i="1"/>
  <c r="B345" i="1"/>
  <c r="B341" i="1"/>
  <c r="B339" i="1"/>
  <c r="B338" i="1"/>
  <c r="B336" i="1"/>
  <c r="B334" i="1"/>
  <c r="B332" i="1"/>
  <c r="B331" i="1"/>
  <c r="B330" i="1"/>
  <c r="H303" i="1"/>
  <c r="G301" i="1"/>
  <c r="D436" i="9" s="1"/>
  <c r="K315" i="1"/>
  <c r="L315" i="1" s="1"/>
  <c r="M315" i="1" s="1"/>
  <c r="N315" i="1" s="1"/>
  <c r="O315" i="1" s="1"/>
  <c r="J316" i="1"/>
  <c r="M42" i="9"/>
  <c r="I42" i="9"/>
  <c r="H315" i="1"/>
  <c r="I316" i="1" s="1"/>
  <c r="J149" i="16" l="1"/>
  <c r="J169" i="16"/>
  <c r="L90" i="16"/>
  <c r="I71" i="16"/>
  <c r="I73" i="16" s="1"/>
  <c r="I12" i="16" s="1"/>
  <c r="J72" i="16"/>
  <c r="K3" i="16"/>
  <c r="K169" i="16" s="1"/>
  <c r="J69" i="16"/>
  <c r="K55" i="16"/>
  <c r="J56" i="16"/>
  <c r="J97" i="16" s="1"/>
  <c r="J38" i="16"/>
  <c r="J36" i="16" s="1"/>
  <c r="L49" i="16"/>
  <c r="I45" i="16"/>
  <c r="J46" i="16"/>
  <c r="J45" i="16" s="1"/>
  <c r="I37" i="16"/>
  <c r="I89" i="16"/>
  <c r="H134" i="16"/>
  <c r="H173" i="16" s="1"/>
  <c r="H138" i="16"/>
  <c r="G129" i="16"/>
  <c r="G132" i="16"/>
  <c r="H129" i="16"/>
  <c r="H132" i="16"/>
  <c r="I132" i="16" s="1"/>
  <c r="J132" i="16" s="1"/>
  <c r="K132" i="16" s="1"/>
  <c r="L132" i="16" s="1"/>
  <c r="M132" i="16" s="1"/>
  <c r="N132" i="16" s="1"/>
  <c r="O132" i="16" s="1"/>
  <c r="N63" i="16"/>
  <c r="I61" i="16"/>
  <c r="I65" i="16" s="1"/>
  <c r="I13" i="16" s="1"/>
  <c r="H40" i="16"/>
  <c r="I40" i="16" s="1"/>
  <c r="H42" i="16"/>
  <c r="H57" i="16"/>
  <c r="H15" i="16"/>
  <c r="H77" i="16" s="1"/>
  <c r="G354" i="1"/>
  <c r="G376" i="1" s="1"/>
  <c r="J334" i="1"/>
  <c r="K334" i="1" s="1"/>
  <c r="L334" i="1" s="1"/>
  <c r="M334" i="1" s="1"/>
  <c r="N334" i="1" s="1"/>
  <c r="O334" i="1" s="1"/>
  <c r="O331" i="1" s="1"/>
  <c r="O341" i="1" s="1"/>
  <c r="I331" i="1"/>
  <c r="J23" i="17" s="1"/>
  <c r="K345" i="1"/>
  <c r="L345" i="1" s="1"/>
  <c r="H308" i="1"/>
  <c r="H373" i="1" s="1"/>
  <c r="H316" i="1"/>
  <c r="H50" i="16" l="1"/>
  <c r="H51" i="16" s="1"/>
  <c r="I51" i="16" s="1"/>
  <c r="K47" i="16"/>
  <c r="K46" i="16" s="1"/>
  <c r="K45" i="16" s="1"/>
  <c r="K149" i="16"/>
  <c r="I81" i="16"/>
  <c r="J81" i="16"/>
  <c r="J37" i="16"/>
  <c r="J89" i="16"/>
  <c r="M90" i="16"/>
  <c r="L3" i="16"/>
  <c r="L169" i="16" s="1"/>
  <c r="K69" i="16"/>
  <c r="J71" i="16"/>
  <c r="J73" i="16" s="1"/>
  <c r="J12" i="16" s="1"/>
  <c r="K72" i="16"/>
  <c r="L55" i="16"/>
  <c r="K56" i="16"/>
  <c r="K97" i="16" s="1"/>
  <c r="M49" i="16"/>
  <c r="I41" i="16"/>
  <c r="I42" i="16" s="1"/>
  <c r="I78" i="16" s="1"/>
  <c r="I77" i="16" s="1"/>
  <c r="J40" i="16"/>
  <c r="K38" i="16"/>
  <c r="K36" i="16" s="1"/>
  <c r="J63" i="16"/>
  <c r="N61" i="16"/>
  <c r="N65" i="16" s="1"/>
  <c r="N13" i="16" s="1"/>
  <c r="M331" i="1"/>
  <c r="M341" i="1" s="1"/>
  <c r="K331" i="1"/>
  <c r="J331" i="1"/>
  <c r="L331" i="1"/>
  <c r="N331" i="1"/>
  <c r="N341" i="1" s="1"/>
  <c r="M345" i="1"/>
  <c r="J341" i="1" l="1"/>
  <c r="K23" i="17"/>
  <c r="K341" i="1"/>
  <c r="L23" i="17"/>
  <c r="L341" i="1"/>
  <c r="M23" i="17"/>
  <c r="N23" i="17" s="1"/>
  <c r="L47" i="16"/>
  <c r="L46" i="16" s="1"/>
  <c r="L45" i="16" s="1"/>
  <c r="L149" i="16"/>
  <c r="N90" i="16"/>
  <c r="K37" i="16"/>
  <c r="K89" i="16"/>
  <c r="K81" i="16"/>
  <c r="K71" i="16"/>
  <c r="K73" i="16" s="1"/>
  <c r="K12" i="16" s="1"/>
  <c r="L72" i="16"/>
  <c r="I15" i="16"/>
  <c r="J77" i="16"/>
  <c r="M3" i="16"/>
  <c r="M47" i="16" s="1"/>
  <c r="L69" i="16"/>
  <c r="M55" i="16"/>
  <c r="L56" i="16"/>
  <c r="L97" i="16" s="1"/>
  <c r="I11" i="16"/>
  <c r="I50" i="16"/>
  <c r="I57" i="16" s="1"/>
  <c r="L38" i="16"/>
  <c r="L36" i="16" s="1"/>
  <c r="N49" i="16"/>
  <c r="K40" i="16"/>
  <c r="J41" i="16"/>
  <c r="J11" i="16" s="1"/>
  <c r="K63" i="16"/>
  <c r="J61" i="16"/>
  <c r="J65" i="16" s="1"/>
  <c r="J13" i="16" s="1"/>
  <c r="N345" i="1"/>
  <c r="M149" i="16" l="1"/>
  <c r="M169" i="16"/>
  <c r="I9" i="16"/>
  <c r="I16" i="16" s="1"/>
  <c r="L37" i="16"/>
  <c r="L89" i="16"/>
  <c r="K77" i="16"/>
  <c r="K15" i="16" s="1"/>
  <c r="J15" i="16"/>
  <c r="L81" i="16"/>
  <c r="O90" i="16"/>
  <c r="N3" i="16"/>
  <c r="N169" i="16" s="1"/>
  <c r="M69" i="16"/>
  <c r="M72" i="16"/>
  <c r="L71" i="16"/>
  <c r="L73" i="16" s="1"/>
  <c r="L12" i="16" s="1"/>
  <c r="N55" i="16"/>
  <c r="M56" i="16"/>
  <c r="M97" i="16" s="1"/>
  <c r="L40" i="16"/>
  <c r="K41" i="16"/>
  <c r="K11" i="16" s="1"/>
  <c r="M46" i="16"/>
  <c r="M45" i="16" s="1"/>
  <c r="M81" i="16" s="1"/>
  <c r="O49" i="16"/>
  <c r="M38" i="16"/>
  <c r="M36" i="16" s="1"/>
  <c r="J50" i="16"/>
  <c r="J57" i="16" s="1"/>
  <c r="J42" i="16"/>
  <c r="L63" i="16"/>
  <c r="K61" i="16"/>
  <c r="K65" i="16" s="1"/>
  <c r="K13" i="16" s="1"/>
  <c r="O345" i="1"/>
  <c r="L77" i="16" l="1"/>
  <c r="L15" i="16" s="1"/>
  <c r="I84" i="16"/>
  <c r="I86" i="16" s="1"/>
  <c r="J9" i="16"/>
  <c r="J16" i="16" s="1"/>
  <c r="I118" i="16"/>
  <c r="I120" i="16" s="1"/>
  <c r="I161" i="16"/>
  <c r="N47" i="16"/>
  <c r="N46" i="16" s="1"/>
  <c r="N149" i="16"/>
  <c r="I29" i="16"/>
  <c r="I19" i="16"/>
  <c r="I21" i="16" s="1"/>
  <c r="I153" i="16" s="1"/>
  <c r="I23" i="16"/>
  <c r="I32" i="16"/>
  <c r="M37" i="16"/>
  <c r="M89" i="16"/>
  <c r="I33" i="16"/>
  <c r="I26" i="16"/>
  <c r="I17" i="16"/>
  <c r="I102" i="16"/>
  <c r="I30" i="16"/>
  <c r="I28" i="16"/>
  <c r="I100" i="16"/>
  <c r="I92" i="16"/>
  <c r="I94" i="16" s="1"/>
  <c r="I31" i="16"/>
  <c r="I122" i="16"/>
  <c r="N72" i="16"/>
  <c r="M71" i="16"/>
  <c r="M73" i="16" s="1"/>
  <c r="M12" i="16" s="1"/>
  <c r="O3" i="16"/>
  <c r="O169" i="16" s="1"/>
  <c r="N69" i="16"/>
  <c r="O55" i="16"/>
  <c r="O56" i="16" s="1"/>
  <c r="O97" i="16" s="1"/>
  <c r="N56" i="16"/>
  <c r="N97" i="16" s="1"/>
  <c r="K42" i="16"/>
  <c r="O38" i="16"/>
  <c r="N38" i="16"/>
  <c r="N36" i="16" s="1"/>
  <c r="K50" i="16"/>
  <c r="K57" i="16" s="1"/>
  <c r="M40" i="16"/>
  <c r="L41" i="16"/>
  <c r="L11" i="16" s="1"/>
  <c r="M63" i="16"/>
  <c r="L61" i="16"/>
  <c r="L65" i="16" s="1"/>
  <c r="L13" i="16" s="1"/>
  <c r="H42" i="9"/>
  <c r="J42" i="9" s="1"/>
  <c r="K42" i="9" s="1"/>
  <c r="L42" i="9" s="1"/>
  <c r="C9" i="15"/>
  <c r="H10" i="15"/>
  <c r="D11" i="15"/>
  <c r="D9" i="15"/>
  <c r="E15" i="15" s="1"/>
  <c r="D7" i="15"/>
  <c r="P188" i="9"/>
  <c r="AH18" i="4"/>
  <c r="L170" i="9" s="1"/>
  <c r="L2" i="9"/>
  <c r="Q231" i="4"/>
  <c r="Q211" i="4"/>
  <c r="G43" i="9"/>
  <c r="G44" i="9" s="1"/>
  <c r="Q314" i="4"/>
  <c r="AH306" i="4"/>
  <c r="Q261" i="4"/>
  <c r="Q244" i="4"/>
  <c r="L355" i="9" s="1"/>
  <c r="Q242" i="4"/>
  <c r="Q232" i="4"/>
  <c r="Q195" i="4"/>
  <c r="Q199" i="4" s="1"/>
  <c r="N588" i="9" s="1"/>
  <c r="Q120" i="4"/>
  <c r="Q119" i="4"/>
  <c r="Q117" i="4"/>
  <c r="Q154" i="4" s="1"/>
  <c r="Q116" i="4"/>
  <c r="Q142" i="4" s="1"/>
  <c r="Q115" i="4"/>
  <c r="Q114" i="4"/>
  <c r="Q143" i="4" s="1"/>
  <c r="Q111" i="4"/>
  <c r="Q110" i="4"/>
  <c r="Q107" i="4"/>
  <c r="Q106" i="4"/>
  <c r="Q105" i="4"/>
  <c r="Q148" i="4" s="1"/>
  <c r="Q104" i="4"/>
  <c r="Q103" i="4"/>
  <c r="Q102" i="4"/>
  <c r="Q101" i="4"/>
  <c r="Q100" i="4"/>
  <c r="Q99" i="4"/>
  <c r="Q98" i="4"/>
  <c r="Q93" i="4"/>
  <c r="Q145" i="4" s="1"/>
  <c r="Q91" i="4"/>
  <c r="Q90" i="4"/>
  <c r="Q89" i="4"/>
  <c r="Q88" i="4"/>
  <c r="Q156" i="4" s="1"/>
  <c r="Q87" i="4"/>
  <c r="Q86" i="4"/>
  <c r="Q85" i="4"/>
  <c r="Q84" i="4"/>
  <c r="Q80" i="4"/>
  <c r="Q77" i="4"/>
  <c r="P195" i="9" s="1"/>
  <c r="Q76" i="4"/>
  <c r="P194" i="9" s="1"/>
  <c r="Q75" i="4"/>
  <c r="P193" i="9" s="1"/>
  <c r="Q74" i="4"/>
  <c r="Q71" i="4"/>
  <c r="P191" i="9" s="1"/>
  <c r="Q68" i="4"/>
  <c r="P190" i="9" s="1"/>
  <c r="Q65" i="4"/>
  <c r="P189" i="9" s="1"/>
  <c r="Q60" i="4"/>
  <c r="Q59" i="4"/>
  <c r="Q58" i="4"/>
  <c r="Q57" i="4"/>
  <c r="Q276" i="4" s="1"/>
  <c r="Q56" i="4"/>
  <c r="Q55" i="4"/>
  <c r="Q54" i="4"/>
  <c r="Q53" i="4"/>
  <c r="Q50" i="4"/>
  <c r="Q311" i="4" s="1"/>
  <c r="Q49" i="4"/>
  <c r="Q48" i="4"/>
  <c r="Q47" i="4"/>
  <c r="Q46" i="4"/>
  <c r="Q45" i="4"/>
  <c r="Q40" i="4"/>
  <c r="Q39" i="4"/>
  <c r="Q38" i="4"/>
  <c r="Q37" i="4"/>
  <c r="Q36" i="4"/>
  <c r="Q35" i="4"/>
  <c r="Q34" i="4"/>
  <c r="Q30" i="4"/>
  <c r="Q29" i="4"/>
  <c r="Q28" i="4"/>
  <c r="Q252" i="4" s="1"/>
  <c r="Q27" i="4"/>
  <c r="Q275" i="4" s="1"/>
  <c r="Q26" i="4"/>
  <c r="Q25" i="4"/>
  <c r="Q24" i="4"/>
  <c r="Q13" i="4"/>
  <c r="Q12" i="4"/>
  <c r="Q11" i="4"/>
  <c r="Q201" i="4" s="1"/>
  <c r="Q10" i="4"/>
  <c r="Q9" i="4"/>
  <c r="Q8" i="4"/>
  <c r="Q7" i="4"/>
  <c r="Q140" i="4" l="1"/>
  <c r="Q178" i="4"/>
  <c r="P192" i="9"/>
  <c r="Q155" i="4"/>
  <c r="Q144" i="4"/>
  <c r="Q152" i="4"/>
  <c r="D414" i="9"/>
  <c r="Q250" i="4"/>
  <c r="J10" i="15"/>
  <c r="D29" i="15"/>
  <c r="M77" i="16"/>
  <c r="N77" i="16" s="1"/>
  <c r="I125" i="16"/>
  <c r="I126" i="16" s="1"/>
  <c r="Q14" i="4"/>
  <c r="Q304" i="4" s="1"/>
  <c r="J31" i="16"/>
  <c r="J23" i="16"/>
  <c r="J92" i="16"/>
  <c r="J94" i="16" s="1"/>
  <c r="J122" i="16"/>
  <c r="J102" i="16"/>
  <c r="K9" i="16"/>
  <c r="K16" i="16" s="1"/>
  <c r="I157" i="16"/>
  <c r="J118" i="16"/>
  <c r="J120" i="16" s="1"/>
  <c r="J161" i="16"/>
  <c r="J19" i="16"/>
  <c r="J21" i="16" s="1"/>
  <c r="J153" i="16" s="1"/>
  <c r="J30" i="16"/>
  <c r="J17" i="16"/>
  <c r="J32" i="16"/>
  <c r="O69" i="16"/>
  <c r="O149" i="16"/>
  <c r="J26" i="16"/>
  <c r="J33" i="16"/>
  <c r="J28" i="16"/>
  <c r="J29" i="16"/>
  <c r="J100" i="16"/>
  <c r="J84" i="16"/>
  <c r="J86" i="16" s="1"/>
  <c r="I105" i="16"/>
  <c r="I107" i="16" s="1"/>
  <c r="J415" i="9" s="1"/>
  <c r="O47" i="16"/>
  <c r="O46" i="16" s="1"/>
  <c r="O45" i="16" s="1"/>
  <c r="N37" i="16"/>
  <c r="N89" i="16"/>
  <c r="O36" i="16"/>
  <c r="O89" i="16" s="1"/>
  <c r="N71" i="16"/>
  <c r="N73" i="16" s="1"/>
  <c r="N12" i="16" s="1"/>
  <c r="O72" i="16"/>
  <c r="O71" i="16" s="1"/>
  <c r="L50" i="16"/>
  <c r="L57" i="16" s="1"/>
  <c r="N40" i="16"/>
  <c r="M41" i="16"/>
  <c r="M11" i="16" s="1"/>
  <c r="N45" i="16"/>
  <c r="L42" i="16"/>
  <c r="O63" i="16"/>
  <c r="O61" i="16" s="1"/>
  <c r="O65" i="16" s="1"/>
  <c r="O13" i="16" s="1"/>
  <c r="M61" i="16"/>
  <c r="M65" i="16" s="1"/>
  <c r="M13" i="16" s="1"/>
  <c r="Q31" i="4"/>
  <c r="Q277" i="4"/>
  <c r="Q278" i="4" s="1"/>
  <c r="Q61" i="4"/>
  <c r="Q113" i="4"/>
  <c r="Q118" i="4" s="1"/>
  <c r="Q202" i="4"/>
  <c r="Q66" i="4"/>
  <c r="Q81" i="4"/>
  <c r="Q255" i="4"/>
  <c r="Q222" i="4"/>
  <c r="Q17" i="4"/>
  <c r="Q221" i="4"/>
  <c r="Q41" i="4"/>
  <c r="Q69" i="4"/>
  <c r="Q92" i="4"/>
  <c r="Q307" i="4"/>
  <c r="Q223" i="4"/>
  <c r="Q19" i="4"/>
  <c r="L150" i="9" s="1"/>
  <c r="Q78" i="4"/>
  <c r="Q72" i="4"/>
  <c r="Q94" i="4"/>
  <c r="Q204" i="4"/>
  <c r="D511" i="9" s="1"/>
  <c r="Q230" i="4"/>
  <c r="Q170" i="4" l="1"/>
  <c r="K415" i="9"/>
  <c r="M415" i="9" s="1"/>
  <c r="M15" i="16"/>
  <c r="Q216" i="4"/>
  <c r="Q217" i="4"/>
  <c r="I128" i="16"/>
  <c r="I129" i="16" s="1"/>
  <c r="J105" i="16"/>
  <c r="J107" i="16" s="1"/>
  <c r="J108" i="16" s="1"/>
  <c r="J165" i="16" s="1"/>
  <c r="O73" i="16"/>
  <c r="O12" i="16" s="1"/>
  <c r="I137" i="16"/>
  <c r="J157" i="16"/>
  <c r="L9" i="16"/>
  <c r="L16" i="16" s="1"/>
  <c r="K118" i="16"/>
  <c r="K120" i="16" s="1"/>
  <c r="K161" i="16"/>
  <c r="J125" i="16"/>
  <c r="J126" i="16" s="1"/>
  <c r="K23" i="16"/>
  <c r="K19" i="16"/>
  <c r="K21" i="16" s="1"/>
  <c r="K153" i="16" s="1"/>
  <c r="I108" i="16"/>
  <c r="I165" i="16" s="1"/>
  <c r="O77" i="16"/>
  <c r="O15" i="16" s="1"/>
  <c r="N15" i="16"/>
  <c r="O37" i="16"/>
  <c r="O81" i="16"/>
  <c r="N81" i="16"/>
  <c r="K28" i="16"/>
  <c r="K92" i="16"/>
  <c r="K94" i="16" s="1"/>
  <c r="K122" i="16"/>
  <c r="K102" i="16"/>
  <c r="K84" i="16"/>
  <c r="K86" i="16" s="1"/>
  <c r="K100" i="16"/>
  <c r="M42" i="16"/>
  <c r="N41" i="16"/>
  <c r="N11" i="16" s="1"/>
  <c r="O40" i="16"/>
  <c r="O41" i="16" s="1"/>
  <c r="O11" i="16" s="1"/>
  <c r="K30" i="16"/>
  <c r="K33" i="16"/>
  <c r="K32" i="16"/>
  <c r="K26" i="16"/>
  <c r="K29" i="16"/>
  <c r="K31" i="16"/>
  <c r="K17" i="16"/>
  <c r="M50" i="16"/>
  <c r="M57" i="16" s="1"/>
  <c r="Q227" i="4"/>
  <c r="Q224" i="4"/>
  <c r="Q225" i="4" s="1"/>
  <c r="L415" i="9" l="1"/>
  <c r="D509" i="9"/>
  <c r="Q218" i="4"/>
  <c r="I131" i="16"/>
  <c r="I133" i="16" s="1"/>
  <c r="I134" i="16" s="1"/>
  <c r="I173" i="16" s="1"/>
  <c r="J137" i="16"/>
  <c r="J128" i="16"/>
  <c r="J131" i="16" s="1"/>
  <c r="J133" i="16" s="1"/>
  <c r="M9" i="16"/>
  <c r="M16" i="16" s="1"/>
  <c r="K125" i="16"/>
  <c r="K126" i="16" s="1"/>
  <c r="L118" i="16"/>
  <c r="L120" i="16" s="1"/>
  <c r="L161" i="16"/>
  <c r="K157" i="16"/>
  <c r="L23" i="16"/>
  <c r="L19" i="16"/>
  <c r="L21" i="16" s="1"/>
  <c r="L153" i="16" s="1"/>
  <c r="L92" i="16"/>
  <c r="L94" i="16" s="1"/>
  <c r="L122" i="16"/>
  <c r="L84" i="16"/>
  <c r="L86" i="16" s="1"/>
  <c r="L102" i="16"/>
  <c r="L100" i="16"/>
  <c r="K105" i="16"/>
  <c r="K107" i="16" s="1"/>
  <c r="L29" i="16"/>
  <c r="L26" i="16"/>
  <c r="L17" i="16"/>
  <c r="L32" i="16"/>
  <c r="L33" i="16"/>
  <c r="L31" i="16"/>
  <c r="L30" i="16"/>
  <c r="N42" i="16"/>
  <c r="L28" i="16"/>
  <c r="O50" i="16"/>
  <c r="O57" i="16" s="1"/>
  <c r="N50" i="16"/>
  <c r="N57" i="16" s="1"/>
  <c r="O42" i="16"/>
  <c r="D80" i="9"/>
  <c r="C80" i="9"/>
  <c r="C96" i="9"/>
  <c r="G347" i="1" s="1"/>
  <c r="D96" i="9"/>
  <c r="D82" i="9"/>
  <c r="H331" i="1" s="1"/>
  <c r="I82" i="9"/>
  <c r="H84" i="9"/>
  <c r="I84" i="9"/>
  <c r="H83" i="9"/>
  <c r="C82" i="9" s="1"/>
  <c r="G331" i="1" s="1"/>
  <c r="G341" i="1" s="1"/>
  <c r="B317" i="9"/>
  <c r="B316" i="9"/>
  <c r="D313" i="9"/>
  <c r="C312" i="9"/>
  <c r="F43" i="9"/>
  <c r="F44" i="9" s="1"/>
  <c r="E43" i="9"/>
  <c r="E44" i="9" s="1"/>
  <c r="D43" i="9"/>
  <c r="D44" i="9" s="1"/>
  <c r="C43" i="9"/>
  <c r="C44" i="9" s="1"/>
  <c r="B305" i="9"/>
  <c r="B304" i="9"/>
  <c r="B303" i="9"/>
  <c r="E31" i="9"/>
  <c r="E34" i="9" s="1"/>
  <c r="F31" i="9"/>
  <c r="B302" i="9"/>
  <c r="B71" i="9"/>
  <c r="B77" i="9" s="1"/>
  <c r="B70" i="9"/>
  <c r="B76" i="9" s="1"/>
  <c r="B69" i="9"/>
  <c r="B75" i="9" s="1"/>
  <c r="C65" i="9"/>
  <c r="C78" i="9" s="1"/>
  <c r="D65" i="9"/>
  <c r="D71" i="9" s="1"/>
  <c r="D77" i="9" s="1"/>
  <c r="B299" i="9"/>
  <c r="B298" i="9"/>
  <c r="B296" i="9"/>
  <c r="B295" i="9"/>
  <c r="I138" i="16" l="1"/>
  <c r="D510" i="9"/>
  <c r="E509" i="9"/>
  <c r="J129" i="16"/>
  <c r="O9" i="16"/>
  <c r="N9" i="16"/>
  <c r="N16" i="16" s="1"/>
  <c r="M118" i="16"/>
  <c r="M120" i="16" s="1"/>
  <c r="M161" i="16"/>
  <c r="L157" i="16"/>
  <c r="L125" i="16"/>
  <c r="L126" i="16" s="1"/>
  <c r="M23" i="16"/>
  <c r="M19" i="16"/>
  <c r="M21" i="16" s="1"/>
  <c r="M153" i="16" s="1"/>
  <c r="J134" i="16"/>
  <c r="J173" i="16" s="1"/>
  <c r="J138" i="16"/>
  <c r="L105" i="16"/>
  <c r="L107" i="16" s="1"/>
  <c r="K108" i="16"/>
  <c r="K165" i="16" s="1"/>
  <c r="K137" i="16"/>
  <c r="K128" i="16"/>
  <c r="M92" i="16"/>
  <c r="M94" i="16" s="1"/>
  <c r="M122" i="16"/>
  <c r="M102" i="16"/>
  <c r="M84" i="16"/>
  <c r="M86" i="16" s="1"/>
  <c r="M100" i="16"/>
  <c r="M33" i="16"/>
  <c r="M17" i="16"/>
  <c r="M32" i="16"/>
  <c r="M29" i="16"/>
  <c r="M30" i="16"/>
  <c r="M26" i="16"/>
  <c r="M31" i="16"/>
  <c r="O16" i="16"/>
  <c r="M28" i="16"/>
  <c r="I347" i="1"/>
  <c r="H347" i="1"/>
  <c r="D91" i="9"/>
  <c r="I341" i="1"/>
  <c r="C91" i="9"/>
  <c r="H341" i="1"/>
  <c r="C86" i="9"/>
  <c r="G336" i="1" s="1"/>
  <c r="D86" i="9"/>
  <c r="H336" i="1" s="1"/>
  <c r="G91" i="9"/>
  <c r="F34" i="9"/>
  <c r="D78" i="9"/>
  <c r="D69" i="9"/>
  <c r="D75" i="9" s="1"/>
  <c r="C69" i="9"/>
  <c r="C75" i="9" s="1"/>
  <c r="C70" i="9"/>
  <c r="C76" i="9" s="1"/>
  <c r="C81" i="9" s="1"/>
  <c r="D70" i="9"/>
  <c r="D76" i="9" s="1"/>
  <c r="D81" i="9" s="1"/>
  <c r="C71" i="9"/>
  <c r="C77" i="9" s="1"/>
  <c r="M125" i="16" l="1"/>
  <c r="M126" i="16" s="1"/>
  <c r="N118" i="16"/>
  <c r="N120" i="16" s="1"/>
  <c r="N161" i="16"/>
  <c r="O118" i="16"/>
  <c r="O120" i="16" s="1"/>
  <c r="O161" i="16"/>
  <c r="M157" i="16"/>
  <c r="O19" i="16"/>
  <c r="O21" i="16" s="1"/>
  <c r="O153" i="16" s="1"/>
  <c r="N23" i="16"/>
  <c r="N19" i="16"/>
  <c r="N21" i="16" s="1"/>
  <c r="N153" i="16" s="1"/>
  <c r="O23" i="16"/>
  <c r="K129" i="16"/>
  <c r="K131" i="16"/>
  <c r="K133" i="16" s="1"/>
  <c r="N28" i="16"/>
  <c r="N92" i="16"/>
  <c r="N94" i="16" s="1"/>
  <c r="N122" i="16"/>
  <c r="N102" i="16"/>
  <c r="N84" i="16"/>
  <c r="N86" i="16" s="1"/>
  <c r="N100" i="16"/>
  <c r="O122" i="16"/>
  <c r="O92" i="16"/>
  <c r="O94" i="16" s="1"/>
  <c r="O84" i="16"/>
  <c r="O86" i="16" s="1"/>
  <c r="O100" i="16"/>
  <c r="O102" i="16"/>
  <c r="L137" i="16"/>
  <c r="L108" i="16"/>
  <c r="L165" i="16" s="1"/>
  <c r="L128" i="16"/>
  <c r="M105" i="16"/>
  <c r="M107" i="16" s="1"/>
  <c r="N33" i="16"/>
  <c r="N17" i="16"/>
  <c r="N26" i="16"/>
  <c r="N32" i="16"/>
  <c r="N30" i="16"/>
  <c r="N29" i="16"/>
  <c r="N31" i="16"/>
  <c r="O33" i="16"/>
  <c r="O17" i="16"/>
  <c r="O32" i="16"/>
  <c r="O30" i="16"/>
  <c r="O29" i="16"/>
  <c r="O26" i="16"/>
  <c r="O31" i="16"/>
  <c r="O28" i="16"/>
  <c r="G330" i="1"/>
  <c r="I330" i="1"/>
  <c r="I342" i="1" s="1"/>
  <c r="I343" i="1" s="1"/>
  <c r="I374" i="1" s="1"/>
  <c r="H330" i="1"/>
  <c r="H342" i="1" s="1"/>
  <c r="H343" i="1" s="1"/>
  <c r="H374" i="1" s="1"/>
  <c r="C95" i="9"/>
  <c r="D92" i="9"/>
  <c r="D93" i="9" s="1"/>
  <c r="C92" i="9"/>
  <c r="C93" i="9" s="1"/>
  <c r="D95" i="9"/>
  <c r="C83" i="9"/>
  <c r="D83" i="9"/>
  <c r="G88" i="9" s="1"/>
  <c r="O157" i="16" l="1"/>
  <c r="N125" i="16"/>
  <c r="N126" i="16" s="1"/>
  <c r="H332" i="1"/>
  <c r="J332" i="1" s="1"/>
  <c r="K332" i="1" s="1"/>
  <c r="I346" i="1"/>
  <c r="I348" i="1" s="1"/>
  <c r="I349" i="1" s="1"/>
  <c r="O125" i="16"/>
  <c r="O126" i="16" s="1"/>
  <c r="N157" i="16"/>
  <c r="N105" i="16"/>
  <c r="N107" i="16" s="1"/>
  <c r="O105" i="16"/>
  <c r="O107" i="16" s="1"/>
  <c r="L131" i="16"/>
  <c r="L133" i="16" s="1"/>
  <c r="L129" i="16"/>
  <c r="K134" i="16"/>
  <c r="K173" i="16" s="1"/>
  <c r="K138" i="16"/>
  <c r="M137" i="16"/>
  <c r="M108" i="16"/>
  <c r="M165" i="16" s="1"/>
  <c r="M128" i="16"/>
  <c r="G332" i="1"/>
  <c r="G346" i="1"/>
  <c r="G342" i="1"/>
  <c r="G343" i="1" s="1"/>
  <c r="G374" i="1" s="1"/>
  <c r="H346" i="1"/>
  <c r="D97" i="9"/>
  <c r="C97" i="9"/>
  <c r="G348" i="1" s="1"/>
  <c r="G349" i="1" s="1"/>
  <c r="C56" i="9"/>
  <c r="D56" i="9"/>
  <c r="C303" i="9" s="1"/>
  <c r="J330" i="1" l="1"/>
  <c r="J346" i="1" s="1"/>
  <c r="M131" i="16"/>
  <c r="M133" i="16" s="1"/>
  <c r="M129" i="16"/>
  <c r="N108" i="16"/>
  <c r="N165" i="16" s="1"/>
  <c r="N137" i="16"/>
  <c r="N128" i="16"/>
  <c r="L138" i="16"/>
  <c r="L134" i="16"/>
  <c r="L173" i="16" s="1"/>
  <c r="O137" i="16"/>
  <c r="O108" i="16"/>
  <c r="O165" i="16" s="1"/>
  <c r="O128" i="16"/>
  <c r="D98" i="9"/>
  <c r="H348" i="1"/>
  <c r="H349" i="1" s="1"/>
  <c r="C98" i="9"/>
  <c r="L332" i="1"/>
  <c r="K330" i="1"/>
  <c r="K280" i="9"/>
  <c r="J280" i="9"/>
  <c r="I280" i="9"/>
  <c r="H280" i="9"/>
  <c r="G280" i="9"/>
  <c r="F280" i="9"/>
  <c r="E280" i="9"/>
  <c r="D280" i="9"/>
  <c r="C280" i="9"/>
  <c r="N227" i="9"/>
  <c r="M227" i="9"/>
  <c r="L227" i="9"/>
  <c r="K227" i="9"/>
  <c r="J227" i="9"/>
  <c r="I227" i="9"/>
  <c r="H227" i="9"/>
  <c r="G227" i="9"/>
  <c r="F227" i="9"/>
  <c r="E227" i="9"/>
  <c r="D227" i="9"/>
  <c r="C227" i="9"/>
  <c r="J224" i="9"/>
  <c r="I224" i="9"/>
  <c r="H224" i="9"/>
  <c r="G224" i="9"/>
  <c r="F224" i="9"/>
  <c r="E224" i="9"/>
  <c r="D224" i="9"/>
  <c r="C224" i="9"/>
  <c r="O188" i="9"/>
  <c r="N188" i="9"/>
  <c r="M188" i="9"/>
  <c r="L188" i="9"/>
  <c r="K188" i="9"/>
  <c r="J188" i="9"/>
  <c r="I188" i="9"/>
  <c r="H188" i="9"/>
  <c r="G188" i="9"/>
  <c r="F188" i="9"/>
  <c r="E188" i="9"/>
  <c r="D188" i="9"/>
  <c r="C188" i="9"/>
  <c r="J342" i="1" l="1"/>
  <c r="J343" i="1" s="1"/>
  <c r="J374" i="1" s="1"/>
  <c r="N131" i="16"/>
  <c r="N133" i="16" s="1"/>
  <c r="N129" i="16"/>
  <c r="O129" i="16"/>
  <c r="O131" i="16"/>
  <c r="O133" i="16" s="1"/>
  <c r="M134" i="16"/>
  <c r="M173" i="16" s="1"/>
  <c r="M138" i="16"/>
  <c r="K342" i="1"/>
  <c r="K343" i="1" s="1"/>
  <c r="K374" i="1" s="1"/>
  <c r="K346" i="1"/>
  <c r="M332" i="1"/>
  <c r="L330" i="1"/>
  <c r="AE18" i="4"/>
  <c r="I170" i="9" s="1"/>
  <c r="AF18" i="4"/>
  <c r="J170" i="9" s="1"/>
  <c r="J348" i="1" l="1"/>
  <c r="J349" i="1" s="1"/>
  <c r="O138" i="16"/>
  <c r="O134" i="16"/>
  <c r="O173" i="16" s="1"/>
  <c r="N138" i="16"/>
  <c r="N134" i="16"/>
  <c r="N173" i="16" s="1"/>
  <c r="K348" i="1"/>
  <c r="K349" i="1" s="1"/>
  <c r="N332" i="1"/>
  <c r="M330" i="1"/>
  <c r="L342" i="1"/>
  <c r="L343" i="1" s="1"/>
  <c r="L374" i="1" s="1"/>
  <c r="L346" i="1"/>
  <c r="C13" i="9"/>
  <c r="D55" i="9"/>
  <c r="B251" i="1"/>
  <c r="B452" i="7"/>
  <c r="A452" i="7"/>
  <c r="A451" i="7"/>
  <c r="A450" i="7"/>
  <c r="A245" i="7"/>
  <c r="A244" i="7"/>
  <c r="A243" i="7"/>
  <c r="J441" i="7"/>
  <c r="J476" i="7" s="1"/>
  <c r="J499" i="7" s="1"/>
  <c r="J504" i="7" s="1"/>
  <c r="A434" i="7"/>
  <c r="A433" i="7"/>
  <c r="A432" i="7"/>
  <c r="AB33" i="7"/>
  <c r="AC33" i="7"/>
  <c r="X29" i="7"/>
  <c r="AC29" i="7"/>
  <c r="B364" i="7"/>
  <c r="E364" i="7" s="1"/>
  <c r="B357" i="7"/>
  <c r="C357" i="7" s="1"/>
  <c r="S198" i="7"/>
  <c r="B356" i="7" s="1"/>
  <c r="B198" i="7"/>
  <c r="R198" i="7" s="1"/>
  <c r="E18" i="9"/>
  <c r="E13" i="9"/>
  <c r="E15" i="9" s="1"/>
  <c r="AG306" i="4"/>
  <c r="AD306" i="4"/>
  <c r="AH314" i="4"/>
  <c r="P314" i="4"/>
  <c r="C315" i="4"/>
  <c r="C314" i="4"/>
  <c r="C313" i="4"/>
  <c r="C300" i="4"/>
  <c r="C299" i="4"/>
  <c r="C298" i="4"/>
  <c r="C297" i="4"/>
  <c r="AG18" i="4"/>
  <c r="K170" i="9" s="1"/>
  <c r="G139" i="9"/>
  <c r="C137" i="9"/>
  <c r="J137" i="9" s="1"/>
  <c r="H139" i="9"/>
  <c r="D137" i="9"/>
  <c r="K137" i="9" s="1"/>
  <c r="G132" i="9"/>
  <c r="J132" i="9" s="1"/>
  <c r="F132" i="9"/>
  <c r="E132" i="9"/>
  <c r="H132" i="9"/>
  <c r="K132" i="9" s="1"/>
  <c r="G17" i="10"/>
  <c r="F301" i="1" l="1"/>
  <c r="C436" i="9" s="1"/>
  <c r="C15" i="9"/>
  <c r="C16" i="9" s="1"/>
  <c r="C302" i="9"/>
  <c r="E16" i="9"/>
  <c r="H301" i="1"/>
  <c r="L348" i="1"/>
  <c r="L349" i="1" s="1"/>
  <c r="M342" i="1"/>
  <c r="M343" i="1" s="1"/>
  <c r="M374" i="1" s="1"/>
  <c r="M346" i="1"/>
  <c r="O332" i="1"/>
  <c r="O330" i="1" s="1"/>
  <c r="N330" i="1"/>
  <c r="D54" i="9"/>
  <c r="C306" i="9" s="1"/>
  <c r="L18" i="9"/>
  <c r="K18" i="9" s="1"/>
  <c r="G236" i="1"/>
  <c r="C55" i="9"/>
  <c r="H236" i="1"/>
  <c r="I236" i="1" s="1"/>
  <c r="J236" i="1" s="1"/>
  <c r="K236" i="1" s="1"/>
  <c r="L236" i="1" s="1"/>
  <c r="M236" i="1" s="1"/>
  <c r="N236" i="1" s="1"/>
  <c r="O236" i="1" s="1"/>
  <c r="AC306" i="4"/>
  <c r="G303" i="1"/>
  <c r="AD33" i="7"/>
  <c r="C356" i="7"/>
  <c r="AD314" i="4"/>
  <c r="AF314" i="4"/>
  <c r="AE314" i="4"/>
  <c r="AC314" i="4"/>
  <c r="AG314" i="4"/>
  <c r="AE306" i="4"/>
  <c r="H304" i="1" l="1"/>
  <c r="H306" i="1" s="1"/>
  <c r="E436" i="9"/>
  <c r="M348" i="1"/>
  <c r="M349" i="1" s="1"/>
  <c r="G304" i="1"/>
  <c r="G306" i="1" s="1"/>
  <c r="G308" i="1"/>
  <c r="O342" i="1"/>
  <c r="O343" i="1" s="1"/>
  <c r="O374" i="1" s="1"/>
  <c r="O346" i="1"/>
  <c r="N342" i="1"/>
  <c r="N343" i="1" s="1"/>
  <c r="N374" i="1" s="1"/>
  <c r="N346" i="1"/>
  <c r="AF306" i="4"/>
  <c r="F303" i="1"/>
  <c r="C54" i="9"/>
  <c r="D16" i="9"/>
  <c r="I304" i="1" l="1"/>
  <c r="O348" i="1"/>
  <c r="O349" i="1" s="1"/>
  <c r="H309" i="1"/>
  <c r="G373" i="1"/>
  <c r="H305" i="1"/>
  <c r="I303" i="1"/>
  <c r="I308" i="1" s="1"/>
  <c r="J304" i="1"/>
  <c r="K304" i="1" s="1"/>
  <c r="I306" i="1"/>
  <c r="N348" i="1"/>
  <c r="N349" i="1" s="1"/>
  <c r="I309" i="1" l="1"/>
  <c r="I373" i="1"/>
  <c r="J306" i="1"/>
  <c r="K306" i="1" l="1"/>
  <c r="L304" i="1"/>
  <c r="M304" i="1" l="1"/>
  <c r="L306" i="1"/>
  <c r="N304" i="1" l="1"/>
  <c r="M306" i="1"/>
  <c r="O304" i="1" l="1"/>
  <c r="O306" i="1" s="1"/>
  <c r="N306" i="1"/>
  <c r="F231" i="4"/>
  <c r="E231" i="4" l="1"/>
  <c r="D340" i="7" l="1"/>
  <c r="B352" i="7" s="1"/>
  <c r="B340" i="7"/>
  <c r="A350" i="7"/>
  <c r="A351" i="7"/>
  <c r="A349" i="7"/>
  <c r="B342" i="7"/>
  <c r="G23" i="10"/>
  <c r="B130" i="9"/>
  <c r="B129" i="9"/>
  <c r="B124" i="9"/>
  <c r="B84" i="10"/>
  <c r="B83" i="10"/>
  <c r="B82" i="10"/>
  <c r="B7" i="10" s="1"/>
  <c r="B81" i="10"/>
  <c r="B6" i="10" s="1"/>
  <c r="AW46" i="2"/>
  <c r="K3" i="15"/>
  <c r="B394" i="1"/>
  <c r="B406" i="1" s="1"/>
  <c r="B393" i="1"/>
  <c r="B405" i="1" s="1"/>
  <c r="B392" i="1"/>
  <c r="B404" i="1" s="1"/>
  <c r="B391" i="1"/>
  <c r="B403" i="1" s="1"/>
  <c r="B390" i="1"/>
  <c r="B402" i="1" s="1"/>
  <c r="E10" i="9" l="1"/>
  <c r="H10" i="9"/>
  <c r="K6" i="9"/>
  <c r="K10" i="9" s="1"/>
  <c r="E37" i="9" l="1"/>
  <c r="E46" i="9" s="1"/>
  <c r="K7" i="9"/>
  <c r="D37" i="9"/>
  <c r="D46" i="9" s="1"/>
  <c r="H7" i="9"/>
  <c r="C37" i="9"/>
  <c r="E7" i="9"/>
  <c r="Q7" i="9" s="1"/>
  <c r="Q9" i="9" s="1"/>
  <c r="J2" i="9"/>
  <c r="I2" i="9"/>
  <c r="H2" i="9"/>
  <c r="G2" i="9"/>
  <c r="F2" i="9"/>
  <c r="E2" i="9"/>
  <c r="D2" i="9"/>
  <c r="C2" i="9"/>
  <c r="K2" i="9"/>
  <c r="J72" i="1"/>
  <c r="K72" i="1" s="1"/>
  <c r="L72" i="1" s="1"/>
  <c r="M72" i="1" s="1"/>
  <c r="N72" i="1" s="1"/>
  <c r="O72" i="1" s="1"/>
  <c r="W118" i="4"/>
  <c r="W117" i="4"/>
  <c r="W154" i="4" s="1"/>
  <c r="V119" i="4"/>
  <c r="V113" i="4" s="1"/>
  <c r="U119" i="4"/>
  <c r="U113" i="4" s="1"/>
  <c r="T119" i="4"/>
  <c r="R119" i="4"/>
  <c r="R113" i="4" s="1"/>
  <c r="P119" i="4"/>
  <c r="P117" i="4"/>
  <c r="C120" i="4"/>
  <c r="C119" i="4"/>
  <c r="C118" i="4"/>
  <c r="C113" i="4"/>
  <c r="J122" i="1"/>
  <c r="K122" i="1" s="1"/>
  <c r="L122" i="1" s="1"/>
  <c r="M122" i="1" s="1"/>
  <c r="N122" i="1" s="1"/>
  <c r="O122" i="1" s="1"/>
  <c r="F126" i="1"/>
  <c r="F124" i="1"/>
  <c r="G124" i="1"/>
  <c r="G165" i="1" s="1"/>
  <c r="B124" i="1"/>
  <c r="C117" i="4" s="1"/>
  <c r="B123" i="1"/>
  <c r="C116" i="4" s="1"/>
  <c r="B122" i="1"/>
  <c r="C115" i="4" s="1"/>
  <c r="B121" i="1"/>
  <c r="C114" i="4" s="1"/>
  <c r="H199" i="1"/>
  <c r="G199" i="1"/>
  <c r="G203" i="1"/>
  <c r="H203" i="1"/>
  <c r="F9" i="15"/>
  <c r="E9" i="15"/>
  <c r="H3" i="15"/>
  <c r="J3" i="15" s="1"/>
  <c r="F11" i="15"/>
  <c r="F7" i="15"/>
  <c r="E7" i="15"/>
  <c r="E11" i="15"/>
  <c r="O86" i="1"/>
  <c r="N86" i="1"/>
  <c r="M86" i="1"/>
  <c r="L86" i="1"/>
  <c r="F16" i="17" s="1"/>
  <c r="K86" i="1"/>
  <c r="E16" i="17" s="1"/>
  <c r="J86" i="1"/>
  <c r="I86" i="1"/>
  <c r="C16" i="17" s="1"/>
  <c r="R89" i="4"/>
  <c r="R88" i="4"/>
  <c r="R156" i="4" s="1"/>
  <c r="G85" i="1"/>
  <c r="G84" i="1"/>
  <c r="G82" i="1"/>
  <c r="G167" i="1" s="1"/>
  <c r="G81" i="1"/>
  <c r="G80" i="1"/>
  <c r="G78" i="1"/>
  <c r="H85" i="1"/>
  <c r="H81" i="1"/>
  <c r="B85" i="1"/>
  <c r="B84" i="1"/>
  <c r="B83" i="1"/>
  <c r="B82" i="1"/>
  <c r="B81" i="1"/>
  <c r="B80" i="1"/>
  <c r="B79" i="1"/>
  <c r="B78" i="1"/>
  <c r="C91" i="4"/>
  <c r="C90" i="4"/>
  <c r="C89" i="4"/>
  <c r="C88" i="4"/>
  <c r="C87" i="4"/>
  <c r="C86" i="4"/>
  <c r="C85" i="4"/>
  <c r="C84" i="4"/>
  <c r="P91" i="4"/>
  <c r="S91" i="4" s="1"/>
  <c r="W104" i="4"/>
  <c r="W103" i="4"/>
  <c r="W102" i="4"/>
  <c r="W100" i="4"/>
  <c r="W99" i="4"/>
  <c r="W98" i="4"/>
  <c r="V40" i="4"/>
  <c r="V39" i="4" s="1"/>
  <c r="U40" i="4"/>
  <c r="U39" i="4" s="1"/>
  <c r="T40" i="4"/>
  <c r="T39" i="4" s="1"/>
  <c r="L284" i="1"/>
  <c r="M284" i="1" s="1"/>
  <c r="N284" i="1" s="1"/>
  <c r="O284" i="1" s="1"/>
  <c r="T281" i="4"/>
  <c r="W193" i="4"/>
  <c r="W240" i="4" s="1"/>
  <c r="V193" i="4"/>
  <c r="V240" i="4" s="1"/>
  <c r="U193" i="4"/>
  <c r="U240" i="4" s="1"/>
  <c r="T193" i="4"/>
  <c r="T240" i="4" s="1"/>
  <c r="AN2" i="4"/>
  <c r="AM2" i="4"/>
  <c r="AL2" i="4"/>
  <c r="AK2" i="4"/>
  <c r="C134" i="4"/>
  <c r="C133" i="4"/>
  <c r="H155" i="1"/>
  <c r="E185" i="10" s="1"/>
  <c r="E183" i="10" s="1"/>
  <c r="B71" i="13"/>
  <c r="B70" i="13"/>
  <c r="B69" i="13"/>
  <c r="B67" i="13"/>
  <c r="B66" i="13"/>
  <c r="B65" i="13"/>
  <c r="Q42" i="13"/>
  <c r="O21" i="13"/>
  <c r="R42" i="13"/>
  <c r="U19" i="13"/>
  <c r="O42" i="13"/>
  <c r="M21" i="13"/>
  <c r="O31" i="13"/>
  <c r="M31" i="13"/>
  <c r="N21" i="13"/>
  <c r="P21" i="13"/>
  <c r="M46" i="13"/>
  <c r="Q31" i="13"/>
  <c r="T42" i="13"/>
  <c r="Q30" i="13"/>
  <c r="T20" i="13"/>
  <c r="U21" i="13"/>
  <c r="Q19" i="13"/>
  <c r="T30" i="13"/>
  <c r="Q21" i="13"/>
  <c r="T21" i="13"/>
  <c r="R31" i="13"/>
  <c r="N20" i="13"/>
  <c r="N31" i="13"/>
  <c r="P46" i="13"/>
  <c r="P30" i="13"/>
  <c r="U46" i="13"/>
  <c r="N46" i="13"/>
  <c r="O19" i="13"/>
  <c r="Q20" i="13"/>
  <c r="S31" i="13"/>
  <c r="N30" i="13"/>
  <c r="S19" i="13"/>
  <c r="N19" i="13"/>
  <c r="U30" i="13"/>
  <c r="R30" i="13"/>
  <c r="O20" i="13"/>
  <c r="S46" i="13"/>
  <c r="U31" i="13"/>
  <c r="N42" i="13"/>
  <c r="U20" i="13"/>
  <c r="P42" i="13"/>
  <c r="O30" i="13"/>
  <c r="P19" i="13"/>
  <c r="M30" i="13"/>
  <c r="S42" i="13"/>
  <c r="R20" i="13"/>
  <c r="T46" i="13"/>
  <c r="U42" i="13"/>
  <c r="T31" i="13"/>
  <c r="O46" i="13"/>
  <c r="Q46" i="13"/>
  <c r="M42" i="13"/>
  <c r="S30" i="13"/>
  <c r="P31" i="13"/>
  <c r="R46" i="13"/>
  <c r="S20" i="13"/>
  <c r="R21" i="13"/>
  <c r="T19" i="13"/>
  <c r="S21" i="13"/>
  <c r="P20" i="13"/>
  <c r="M19" i="13"/>
  <c r="R19" i="13"/>
  <c r="M20" i="13"/>
  <c r="S117" i="4" l="1"/>
  <c r="S154" i="4" s="1"/>
  <c r="P154" i="4"/>
  <c r="G16" i="17"/>
  <c r="W92" i="4"/>
  <c r="D16" i="17"/>
  <c r="E47" i="9"/>
  <c r="C51" i="9"/>
  <c r="D51" i="9"/>
  <c r="D38" i="9"/>
  <c r="E51" i="9"/>
  <c r="E38" i="9"/>
  <c r="C46" i="9"/>
  <c r="D47" i="9" s="1"/>
  <c r="C40" i="9"/>
  <c r="F37" i="9"/>
  <c r="E40" i="9"/>
  <c r="K8" i="9"/>
  <c r="Q6" i="9"/>
  <c r="N7" i="9"/>
  <c r="D40" i="9"/>
  <c r="S47" i="13"/>
  <c r="T47" i="13"/>
  <c r="N47" i="13"/>
  <c r="R47" i="13"/>
  <c r="M47" i="13"/>
  <c r="P47" i="13"/>
  <c r="U47" i="13"/>
  <c r="O47" i="13"/>
  <c r="Q47" i="13"/>
  <c r="W115" i="4"/>
  <c r="R92" i="4"/>
  <c r="T113" i="4"/>
  <c r="G205" i="1"/>
  <c r="H205" i="1"/>
  <c r="T276" i="4"/>
  <c r="U281" i="4"/>
  <c r="B78" i="10"/>
  <c r="B128" i="9" s="1"/>
  <c r="B77" i="10"/>
  <c r="C164" i="10"/>
  <c r="C160" i="10"/>
  <c r="C161" i="10" s="1"/>
  <c r="F38" i="9" l="1"/>
  <c r="F46" i="9"/>
  <c r="F47" i="9" s="1"/>
  <c r="H312" i="1"/>
  <c r="F51" i="9"/>
  <c r="G37" i="9"/>
  <c r="D57" i="9"/>
  <c r="C304" i="9" s="1"/>
  <c r="F40" i="9"/>
  <c r="H322" i="1" s="1"/>
  <c r="H375" i="1" s="1"/>
  <c r="N6" i="9"/>
  <c r="N8" i="9"/>
  <c r="Q8" i="9"/>
  <c r="D37" i="10"/>
  <c r="C7" i="17" s="1"/>
  <c r="G19" i="10"/>
  <c r="T275" i="4"/>
  <c r="U276" i="4"/>
  <c r="V281" i="4"/>
  <c r="C166" i="10"/>
  <c r="C135" i="10" s="1"/>
  <c r="C137" i="10" l="1"/>
  <c r="E37" i="10"/>
  <c r="C149" i="10" s="1"/>
  <c r="H37" i="9"/>
  <c r="H46" i="9" s="1"/>
  <c r="G46" i="9"/>
  <c r="G47" i="9" s="1"/>
  <c r="H323" i="1"/>
  <c r="I323" i="1" s="1"/>
  <c r="J323" i="1" s="1"/>
  <c r="I312" i="1"/>
  <c r="H319" i="1"/>
  <c r="G38" i="9"/>
  <c r="G51" i="9"/>
  <c r="G40" i="9"/>
  <c r="G48" i="9" s="1"/>
  <c r="T277" i="4"/>
  <c r="V276" i="4"/>
  <c r="W281" i="4"/>
  <c r="U275" i="4"/>
  <c r="B9" i="10"/>
  <c r="B14" i="10" s="1"/>
  <c r="B8" i="10"/>
  <c r="B5" i="10"/>
  <c r="B4" i="10"/>
  <c r="B3" i="10"/>
  <c r="B74" i="13"/>
  <c r="B73" i="13"/>
  <c r="F37" i="13"/>
  <c r="E37" i="13"/>
  <c r="R80" i="4"/>
  <c r="B131" i="10"/>
  <c r="B130" i="10"/>
  <c r="Z68" i="7"/>
  <c r="B68" i="7" s="1"/>
  <c r="B67" i="7" s="1"/>
  <c r="O37" i="13"/>
  <c r="T37" i="13"/>
  <c r="P35" i="13"/>
  <c r="O35" i="13"/>
  <c r="U35" i="13"/>
  <c r="N35" i="13"/>
  <c r="N37" i="13"/>
  <c r="R37" i="13"/>
  <c r="Q35" i="13"/>
  <c r="P37" i="13"/>
  <c r="M37" i="13"/>
  <c r="U37" i="13"/>
  <c r="M35" i="13"/>
  <c r="S37" i="13"/>
  <c r="Q37" i="13"/>
  <c r="R35" i="13"/>
  <c r="S35" i="13"/>
  <c r="T35" i="13"/>
  <c r="E39" i="15" l="1"/>
  <c r="E29" i="15"/>
  <c r="I319" i="1"/>
  <c r="I320" i="1" s="1"/>
  <c r="J22" i="17"/>
  <c r="F37" i="10"/>
  <c r="D7" i="17"/>
  <c r="I37" i="9"/>
  <c r="I46" i="9" s="1"/>
  <c r="I47" i="9" s="1"/>
  <c r="H47" i="9"/>
  <c r="I322" i="1"/>
  <c r="I375" i="1" s="1"/>
  <c r="I327" i="1"/>
  <c r="J312" i="1"/>
  <c r="H40" i="9"/>
  <c r="K323" i="1"/>
  <c r="U277" i="4"/>
  <c r="V275" i="4"/>
  <c r="E35" i="13"/>
  <c r="E55" i="13" s="1"/>
  <c r="E46" i="13"/>
  <c r="E77" i="13" s="1"/>
  <c r="F35" i="13"/>
  <c r="F36" i="13" s="1"/>
  <c r="R101" i="4"/>
  <c r="R105" i="4" s="1"/>
  <c r="P36" i="13"/>
  <c r="Q36" i="13"/>
  <c r="O36" i="13"/>
  <c r="R36" i="13"/>
  <c r="S36" i="13"/>
  <c r="N36" i="13"/>
  <c r="T36" i="13"/>
  <c r="M36" i="13"/>
  <c r="U36" i="13"/>
  <c r="E74" i="13"/>
  <c r="F74" i="13"/>
  <c r="R276" i="4"/>
  <c r="R275" i="4" s="1"/>
  <c r="R107" i="4" l="1"/>
  <c r="R120" i="4" s="1"/>
  <c r="F46" i="13" s="1"/>
  <c r="F77" i="13" s="1"/>
  <c r="R148" i="4"/>
  <c r="R170" i="4" s="1"/>
  <c r="R180" i="4" s="1"/>
  <c r="K312" i="1"/>
  <c r="K327" i="1" s="1"/>
  <c r="K22" i="17"/>
  <c r="G37" i="10"/>
  <c r="E7" i="17"/>
  <c r="I38" i="9"/>
  <c r="J37" i="9"/>
  <c r="J46" i="9" s="1"/>
  <c r="J47" i="9" s="1"/>
  <c r="I40" i="9"/>
  <c r="I39" i="9" s="1"/>
  <c r="J322" i="1"/>
  <c r="J375" i="1" s="1"/>
  <c r="J319" i="1"/>
  <c r="J320" i="1" s="1"/>
  <c r="J327" i="1"/>
  <c r="L323" i="1"/>
  <c r="E42" i="13"/>
  <c r="AM275" i="4"/>
  <c r="V277" i="4"/>
  <c r="AM276" i="4"/>
  <c r="E73" i="13"/>
  <c r="F55" i="13"/>
  <c r="E36" i="13"/>
  <c r="F73" i="13"/>
  <c r="B59" i="13"/>
  <c r="B63" i="13" s="1"/>
  <c r="B58" i="13"/>
  <c r="B62" i="13" s="1"/>
  <c r="I51" i="13"/>
  <c r="J51" i="13" s="1"/>
  <c r="K51" i="13" s="1"/>
  <c r="I31" i="1"/>
  <c r="R40" i="4"/>
  <c r="R39" i="4" s="1"/>
  <c r="I3" i="13"/>
  <c r="J3" i="13" s="1"/>
  <c r="K3" i="13" s="1"/>
  <c r="S3" i="13"/>
  <c r="T3" i="13" s="1"/>
  <c r="U3" i="13" s="1"/>
  <c r="B14" i="13"/>
  <c r="B26" i="13" s="1"/>
  <c r="B12" i="13"/>
  <c r="B24" i="13" s="1"/>
  <c r="B92" i="10"/>
  <c r="B99" i="10" s="1"/>
  <c r="B120" i="10" s="1"/>
  <c r="B129" i="10" s="1"/>
  <c r="B91" i="10"/>
  <c r="B98" i="10" s="1"/>
  <c r="B119" i="10" s="1"/>
  <c r="B128" i="10" s="1"/>
  <c r="B90" i="10"/>
  <c r="B97" i="10" s="1"/>
  <c r="B118" i="10" s="1"/>
  <c r="B127" i="10" s="1"/>
  <c r="B89" i="10"/>
  <c r="B96" i="10" s="1"/>
  <c r="B117" i="10" s="1"/>
  <c r="B126" i="10" s="1"/>
  <c r="B88" i="10"/>
  <c r="F263" i="1"/>
  <c r="C209" i="1"/>
  <c r="C240" i="1" s="1"/>
  <c r="M26" i="13"/>
  <c r="Q12" i="13"/>
  <c r="N24" i="13"/>
  <c r="U24" i="13"/>
  <c r="P26" i="13"/>
  <c r="N12" i="13"/>
  <c r="N14" i="13"/>
  <c r="M12" i="13"/>
  <c r="R24" i="13"/>
  <c r="Q24" i="13"/>
  <c r="U12" i="13"/>
  <c r="S26" i="13"/>
  <c r="M5" i="13"/>
  <c r="P12" i="13"/>
  <c r="N7" i="13"/>
  <c r="S7" i="13"/>
  <c r="T7" i="13"/>
  <c r="T14" i="13"/>
  <c r="O24" i="13"/>
  <c r="P5" i="13"/>
  <c r="T12" i="13"/>
  <c r="R7" i="13"/>
  <c r="O5" i="13"/>
  <c r="P14" i="13"/>
  <c r="S5" i="13"/>
  <c r="O14" i="13"/>
  <c r="T26" i="13"/>
  <c r="T5" i="13"/>
  <c r="R5" i="13"/>
  <c r="R26" i="13"/>
  <c r="S14" i="13"/>
  <c r="U7" i="13"/>
  <c r="Q26" i="13"/>
  <c r="Q14" i="13"/>
  <c r="Q5" i="13"/>
  <c r="N26" i="13"/>
  <c r="T24" i="13"/>
  <c r="M7" i="13"/>
  <c r="M24" i="13"/>
  <c r="U5" i="13"/>
  <c r="U26" i="13"/>
  <c r="Q7" i="13"/>
  <c r="P24" i="13"/>
  <c r="S24" i="13"/>
  <c r="M14" i="13"/>
  <c r="O7" i="13"/>
  <c r="P7" i="13"/>
  <c r="O12" i="13"/>
  <c r="N5" i="13"/>
  <c r="S12" i="13"/>
  <c r="U14" i="13"/>
  <c r="O26" i="13"/>
  <c r="R12" i="13"/>
  <c r="F42" i="13" l="1"/>
  <c r="F76" i="13" s="1"/>
  <c r="L312" i="1"/>
  <c r="M22" i="17" s="1"/>
  <c r="N22" i="17" s="1"/>
  <c r="K322" i="1"/>
  <c r="K375" i="1" s="1"/>
  <c r="E37" i="15"/>
  <c r="E40" i="15" s="1"/>
  <c r="E27" i="15"/>
  <c r="E30" i="15" s="1"/>
  <c r="D66" i="10"/>
  <c r="D121" i="10" s="1"/>
  <c r="J15" i="17"/>
  <c r="K319" i="1"/>
  <c r="K320" i="1" s="1"/>
  <c r="L22" i="17"/>
  <c r="H37" i="10"/>
  <c r="I37" i="10" s="1"/>
  <c r="J37" i="10" s="1"/>
  <c r="F7" i="17"/>
  <c r="J40" i="9"/>
  <c r="K37" i="9"/>
  <c r="K46" i="9" s="1"/>
  <c r="K47" i="9" s="1"/>
  <c r="M323" i="1"/>
  <c r="E47" i="13"/>
  <c r="E78" i="13" s="1"/>
  <c r="E76" i="13"/>
  <c r="T38" i="13"/>
  <c r="O38" i="13"/>
  <c r="Q38" i="13"/>
  <c r="R38" i="13"/>
  <c r="U38" i="13"/>
  <c r="M38" i="13"/>
  <c r="S38" i="13"/>
  <c r="P38" i="13"/>
  <c r="N38" i="13"/>
  <c r="R32" i="13"/>
  <c r="R33" i="13" s="1"/>
  <c r="T32" i="13"/>
  <c r="T33" i="13" s="1"/>
  <c r="P32" i="13"/>
  <c r="P33" i="13" s="1"/>
  <c r="Q32" i="13"/>
  <c r="Q33" i="13" s="1"/>
  <c r="M32" i="13"/>
  <c r="M33" i="13" s="1"/>
  <c r="N32" i="13"/>
  <c r="N33" i="13" s="1"/>
  <c r="O32" i="13"/>
  <c r="O33" i="13" s="1"/>
  <c r="S32" i="13"/>
  <c r="S33" i="13" s="1"/>
  <c r="U32" i="13"/>
  <c r="U33" i="13" s="1"/>
  <c r="P28" i="13"/>
  <c r="T28" i="13"/>
  <c r="Q28" i="13"/>
  <c r="M28" i="13"/>
  <c r="U28" i="13"/>
  <c r="N28" i="13"/>
  <c r="O28" i="13"/>
  <c r="R28" i="13"/>
  <c r="S28" i="13"/>
  <c r="U8" i="13"/>
  <c r="T25" i="13"/>
  <c r="R13" i="13"/>
  <c r="U13" i="13"/>
  <c r="T27" i="13"/>
  <c r="S13" i="13"/>
  <c r="U15" i="13"/>
  <c r="S25" i="13"/>
  <c r="T15" i="13"/>
  <c r="R8" i="13"/>
  <c r="R25" i="13"/>
  <c r="U27" i="13"/>
  <c r="U25" i="13"/>
  <c r="R27" i="13"/>
  <c r="R15" i="13"/>
  <c r="S15" i="13"/>
  <c r="S8" i="13"/>
  <c r="T8" i="13"/>
  <c r="T13" i="13"/>
  <c r="S27" i="13"/>
  <c r="R6" i="13"/>
  <c r="U6" i="13"/>
  <c r="T6" i="13"/>
  <c r="S6" i="13"/>
  <c r="M9" i="13"/>
  <c r="P9" i="13"/>
  <c r="Q9" i="13"/>
  <c r="R9" i="13"/>
  <c r="S9" i="13"/>
  <c r="N9" i="13"/>
  <c r="T9" i="13"/>
  <c r="O9" i="13"/>
  <c r="U9" i="13"/>
  <c r="M16" i="13"/>
  <c r="P16" i="13"/>
  <c r="Q16" i="13"/>
  <c r="R16" i="13"/>
  <c r="S16" i="13"/>
  <c r="N16" i="13"/>
  <c r="T16" i="13"/>
  <c r="O16" i="13"/>
  <c r="U16" i="13"/>
  <c r="B95" i="10"/>
  <c r="B116" i="10" s="1"/>
  <c r="B125" i="10" s="1"/>
  <c r="B103" i="10"/>
  <c r="E232" i="4"/>
  <c r="E230" i="4" s="1"/>
  <c r="E236" i="4" s="1"/>
  <c r="F232" i="4"/>
  <c r="F230" i="4" s="1"/>
  <c r="F236" i="4" s="1"/>
  <c r="P232" i="4"/>
  <c r="F47" i="13" l="1"/>
  <c r="F78" i="13" s="1"/>
  <c r="L322" i="1"/>
  <c r="L375" i="1" s="1"/>
  <c r="L319" i="1"/>
  <c r="L320" i="1" s="1"/>
  <c r="M312" i="1"/>
  <c r="M319" i="1" s="1"/>
  <c r="L327" i="1"/>
  <c r="D84" i="10"/>
  <c r="E9" i="10"/>
  <c r="G9" i="10" s="1"/>
  <c r="U40" i="13"/>
  <c r="K40" i="9"/>
  <c r="L37" i="9"/>
  <c r="L40" i="9" s="1"/>
  <c r="N323" i="1"/>
  <c r="P234" i="4"/>
  <c r="P230" i="4"/>
  <c r="P236" i="4" s="1"/>
  <c r="R40" i="13"/>
  <c r="E41" i="15" s="1"/>
  <c r="T40" i="13"/>
  <c r="E44" i="15" s="1"/>
  <c r="S40" i="13"/>
  <c r="E211" i="4"/>
  <c r="F211" i="4"/>
  <c r="P211" i="4"/>
  <c r="C224" i="4"/>
  <c r="C223" i="4"/>
  <c r="C222" i="4"/>
  <c r="C221" i="4"/>
  <c r="C334" i="7"/>
  <c r="B324" i="7"/>
  <c r="C324" i="7"/>
  <c r="C325" i="7" s="1"/>
  <c r="B325" i="7"/>
  <c r="P165" i="7"/>
  <c r="P166" i="7"/>
  <c r="Y266" i="7"/>
  <c r="B321" i="7" s="1"/>
  <c r="X266" i="7"/>
  <c r="W266" i="7"/>
  <c r="V266" i="7"/>
  <c r="U266" i="7"/>
  <c r="Y264" i="7"/>
  <c r="X264" i="7"/>
  <c r="W264" i="7"/>
  <c r="V264" i="7"/>
  <c r="U264" i="7"/>
  <c r="Y263" i="7"/>
  <c r="X263" i="7"/>
  <c r="W263" i="7"/>
  <c r="V263" i="7"/>
  <c r="U263" i="7"/>
  <c r="F307" i="7"/>
  <c r="J307" i="7"/>
  <c r="Y271" i="7"/>
  <c r="X271" i="7"/>
  <c r="W271" i="7"/>
  <c r="V271" i="7"/>
  <c r="U271" i="7"/>
  <c r="Y270" i="7"/>
  <c r="X270" i="7"/>
  <c r="W270" i="7"/>
  <c r="V270" i="7"/>
  <c r="U270" i="7"/>
  <c r="Y230" i="7"/>
  <c r="I260" i="7"/>
  <c r="H260" i="7"/>
  <c r="G260" i="7"/>
  <c r="Z260" i="7" s="1"/>
  <c r="F260" i="7"/>
  <c r="E260" i="7"/>
  <c r="D260" i="7"/>
  <c r="C260" i="7"/>
  <c r="B260" i="7"/>
  <c r="I259" i="7"/>
  <c r="H259" i="7"/>
  <c r="G259" i="7"/>
  <c r="Z259" i="7" s="1"/>
  <c r="F259" i="7"/>
  <c r="E259" i="7"/>
  <c r="D259" i="7"/>
  <c r="C259" i="7"/>
  <c r="B259" i="7"/>
  <c r="I258" i="7"/>
  <c r="H258" i="7"/>
  <c r="G258" i="7"/>
  <c r="Z258" i="7" s="1"/>
  <c r="F258" i="7"/>
  <c r="E258" i="7"/>
  <c r="D258" i="7"/>
  <c r="C258" i="7"/>
  <c r="B258" i="7"/>
  <c r="I257" i="7"/>
  <c r="H257" i="7"/>
  <c r="G257" i="7"/>
  <c r="Z257" i="7" s="1"/>
  <c r="F257" i="7"/>
  <c r="E257" i="7"/>
  <c r="D257" i="7"/>
  <c r="C257" i="7"/>
  <c r="B257" i="7"/>
  <c r="J260" i="7"/>
  <c r="J259" i="7"/>
  <c r="J258" i="7"/>
  <c r="J257" i="7"/>
  <c r="A260" i="7"/>
  <c r="A259" i="7"/>
  <c r="A258" i="7"/>
  <c r="A257" i="7"/>
  <c r="M320" i="1" l="1"/>
  <c r="M322" i="1"/>
  <c r="M375" i="1" s="1"/>
  <c r="M327" i="1"/>
  <c r="N312" i="1"/>
  <c r="N319" i="1" s="1"/>
  <c r="N320" i="1" s="1"/>
  <c r="G14" i="10"/>
  <c r="F9" i="10"/>
  <c r="H261" i="7"/>
  <c r="L46" i="9"/>
  <c r="L47" i="9" s="1"/>
  <c r="M37" i="9"/>
  <c r="M46" i="9" s="1"/>
  <c r="O323" i="1"/>
  <c r="Y257" i="7"/>
  <c r="F261" i="7"/>
  <c r="I261" i="7"/>
  <c r="E261" i="7"/>
  <c r="B261" i="7"/>
  <c r="C261" i="7"/>
  <c r="V259" i="7"/>
  <c r="G261" i="7"/>
  <c r="Z261" i="7" s="1"/>
  <c r="Y259" i="7"/>
  <c r="Y258" i="7"/>
  <c r="Y260" i="7"/>
  <c r="X258" i="7"/>
  <c r="B326" i="7"/>
  <c r="U258" i="7"/>
  <c r="V260" i="7"/>
  <c r="D261" i="7"/>
  <c r="W258" i="7"/>
  <c r="W259" i="7"/>
  <c r="W260" i="7"/>
  <c r="X259" i="7"/>
  <c r="X260" i="7"/>
  <c r="V258" i="7"/>
  <c r="J261" i="7"/>
  <c r="U259" i="7"/>
  <c r="U260" i="7"/>
  <c r="U257" i="7"/>
  <c r="V257" i="7"/>
  <c r="W257" i="7"/>
  <c r="X257" i="7"/>
  <c r="N327" i="1" l="1"/>
  <c r="O312" i="1"/>
  <c r="O327" i="1" s="1"/>
  <c r="N322" i="1"/>
  <c r="N375" i="1" s="1"/>
  <c r="W261" i="7"/>
  <c r="M47" i="9"/>
  <c r="M40" i="9"/>
  <c r="M38" i="9"/>
  <c r="U261" i="7"/>
  <c r="Y261" i="7"/>
  <c r="X261" i="7"/>
  <c r="V261" i="7"/>
  <c r="F309" i="7"/>
  <c r="J309" i="7"/>
  <c r="O268" i="7"/>
  <c r="M268" i="7"/>
  <c r="L268" i="7"/>
  <c r="P261" i="4"/>
  <c r="T261" i="4" s="1"/>
  <c r="AH261" i="4"/>
  <c r="AB261" i="4"/>
  <c r="O322" i="1" l="1"/>
  <c r="O375" i="1" s="1"/>
  <c r="O319" i="1"/>
  <c r="O320" i="1" s="1"/>
  <c r="AE261" i="4"/>
  <c r="AF261" i="4"/>
  <c r="AD261" i="4"/>
  <c r="AG261" i="4"/>
  <c r="AC261" i="4"/>
  <c r="R261" i="4"/>
  <c r="R263" i="4" l="1"/>
  <c r="V261" i="4"/>
  <c r="V263" i="4" s="1"/>
  <c r="U261" i="4"/>
  <c r="D193" i="4"/>
  <c r="D240" i="4" s="1"/>
  <c r="E193" i="4"/>
  <c r="E240" i="4" s="1"/>
  <c r="C249" i="9" s="1"/>
  <c r="F193" i="4"/>
  <c r="F240" i="4" s="1"/>
  <c r="J219" i="1"/>
  <c r="L219" i="1" s="1"/>
  <c r="M219" i="1" s="1"/>
  <c r="N219" i="1" s="1"/>
  <c r="O219" i="1" s="1"/>
  <c r="F30" i="13" l="1"/>
  <c r="F69" i="13" s="1"/>
  <c r="R267" i="4"/>
  <c r="F289" i="4"/>
  <c r="D249" i="9"/>
  <c r="U263" i="4"/>
  <c r="V267" i="4"/>
  <c r="V266" i="4" s="1"/>
  <c r="AM263" i="4"/>
  <c r="C41" i="7"/>
  <c r="M41" i="7" s="1"/>
  <c r="G245" i="1"/>
  <c r="H245" i="1"/>
  <c r="F242" i="1"/>
  <c r="H242" i="1"/>
  <c r="H302" i="1" s="1"/>
  <c r="G242" i="1"/>
  <c r="F31" i="13" l="1"/>
  <c r="F70" i="13" s="1"/>
  <c r="D22" i="9"/>
  <c r="D23" i="9" s="1"/>
  <c r="F302" i="1"/>
  <c r="E22" i="9"/>
  <c r="E23" i="9" s="1"/>
  <c r="G302" i="1"/>
  <c r="F22" i="9"/>
  <c r="F23" i="9" s="1"/>
  <c r="H317" i="1"/>
  <c r="C21" i="13"/>
  <c r="C67" i="13" s="1"/>
  <c r="H246" i="1"/>
  <c r="H251" i="1" s="1"/>
  <c r="H352" i="1" s="1"/>
  <c r="R266" i="4"/>
  <c r="U267" i="4"/>
  <c r="I242" i="1"/>
  <c r="J18" i="17" s="1"/>
  <c r="C19" i="13"/>
  <c r="C65" i="13" s="1"/>
  <c r="D41" i="7"/>
  <c r="H247" i="1"/>
  <c r="C20" i="13" s="1"/>
  <c r="C66" i="13" s="1"/>
  <c r="G247" i="1"/>
  <c r="H243" i="1"/>
  <c r="G243" i="1"/>
  <c r="I302" i="1" l="1"/>
  <c r="E13" i="10"/>
  <c r="I414" i="9"/>
  <c r="H354" i="1"/>
  <c r="H376" i="1" s="1"/>
  <c r="J242" i="1"/>
  <c r="I317" i="1"/>
  <c r="U266" i="4"/>
  <c r="S242" i="4"/>
  <c r="S250" i="4" s="1"/>
  <c r="H19" i="13"/>
  <c r="H65" i="13" s="1"/>
  <c r="I247" i="1"/>
  <c r="H20" i="13" s="1"/>
  <c r="H66" i="13" s="1"/>
  <c r="H248" i="1"/>
  <c r="E41" i="7"/>
  <c r="O41" i="7"/>
  <c r="J317" i="1" l="1"/>
  <c r="K18" i="17"/>
  <c r="T242" i="4"/>
  <c r="T250" i="4" s="1"/>
  <c r="W242" i="4"/>
  <c r="J301" i="1"/>
  <c r="I19" i="13"/>
  <c r="I65" i="13" s="1"/>
  <c r="K242" i="1"/>
  <c r="G19" i="13"/>
  <c r="G65" i="13" s="1"/>
  <c r="J247" i="1"/>
  <c r="I20" i="13" s="1"/>
  <c r="I66" i="13" s="1"/>
  <c r="I245" i="1"/>
  <c r="J19" i="17" s="1"/>
  <c r="F41" i="7"/>
  <c r="P41" i="7"/>
  <c r="K21" i="17" l="1"/>
  <c r="W249" i="4"/>
  <c r="W250" i="4" s="1"/>
  <c r="AN242" i="4"/>
  <c r="J19" i="13"/>
  <c r="J65" i="13" s="1"/>
  <c r="L18" i="17"/>
  <c r="U242" i="4"/>
  <c r="U250" i="4" s="1"/>
  <c r="J303" i="1"/>
  <c r="J308" i="1" s="1"/>
  <c r="K301" i="1"/>
  <c r="L21" i="17" s="1"/>
  <c r="L242" i="1"/>
  <c r="K317" i="1"/>
  <c r="H21" i="13"/>
  <c r="H67" i="13" s="1"/>
  <c r="I246" i="1"/>
  <c r="I352" i="1" s="1"/>
  <c r="K247" i="1"/>
  <c r="J20" i="13" s="1"/>
  <c r="J66" i="13" s="1"/>
  <c r="J245" i="1"/>
  <c r="G41" i="7"/>
  <c r="Q41" i="7"/>
  <c r="L301" i="1" l="1"/>
  <c r="M21" i="17" s="1"/>
  <c r="N21" i="17" s="1"/>
  <c r="M18" i="17"/>
  <c r="N18" i="17" s="1"/>
  <c r="J246" i="1"/>
  <c r="J251" i="1" s="1"/>
  <c r="J250" i="1" s="1"/>
  <c r="K19" i="17"/>
  <c r="AL242" i="4"/>
  <c r="V242" i="4"/>
  <c r="V250" i="4" s="1"/>
  <c r="K19" i="13"/>
  <c r="K65" i="13" s="1"/>
  <c r="J309" i="1"/>
  <c r="J373" i="1"/>
  <c r="L317" i="1"/>
  <c r="I354" i="1"/>
  <c r="I376" i="1" s="1"/>
  <c r="M242" i="1"/>
  <c r="M317" i="1" s="1"/>
  <c r="K303" i="1"/>
  <c r="K308" i="1" s="1"/>
  <c r="I21" i="13"/>
  <c r="I67" i="13" s="1"/>
  <c r="L247" i="1"/>
  <c r="K20" i="13" s="1"/>
  <c r="K66" i="13" s="1"/>
  <c r="K245" i="1"/>
  <c r="L19" i="17" s="1"/>
  <c r="H41" i="7"/>
  <c r="R41" i="7"/>
  <c r="L303" i="1" l="1"/>
  <c r="L308" i="1" s="1"/>
  <c r="L373" i="1" s="1"/>
  <c r="J352" i="1"/>
  <c r="J354" i="1" s="1"/>
  <c r="J376" i="1" s="1"/>
  <c r="K20" i="17"/>
  <c r="W243" i="4"/>
  <c r="N242" i="1"/>
  <c r="N317" i="1" s="1"/>
  <c r="M301" i="1"/>
  <c r="M303" i="1" s="1"/>
  <c r="M308" i="1" s="1"/>
  <c r="K309" i="1"/>
  <c r="K373" i="1"/>
  <c r="J21" i="13"/>
  <c r="J67" i="13" s="1"/>
  <c r="K246" i="1"/>
  <c r="K251" i="1" s="1"/>
  <c r="K250" i="1" s="1"/>
  <c r="M247" i="1"/>
  <c r="L245" i="1"/>
  <c r="M19" i="17" s="1"/>
  <c r="N19" i="17" s="1"/>
  <c r="I41" i="7"/>
  <c r="S41" i="7"/>
  <c r="L309" i="1" l="1"/>
  <c r="K352" i="1"/>
  <c r="K354" i="1" s="1"/>
  <c r="K376" i="1" s="1"/>
  <c r="L20" i="17"/>
  <c r="N301" i="1"/>
  <c r="N303" i="1" s="1"/>
  <c r="N308" i="1" s="1"/>
  <c r="O242" i="1"/>
  <c r="O317" i="1" s="1"/>
  <c r="M309" i="1"/>
  <c r="M373" i="1"/>
  <c r="K21" i="13"/>
  <c r="K67" i="13" s="1"/>
  <c r="L246" i="1"/>
  <c r="L251" i="1" s="1"/>
  <c r="L250" i="1" s="1"/>
  <c r="N247" i="1"/>
  <c r="M245" i="1"/>
  <c r="M246" i="1" s="1"/>
  <c r="M251" i="1" s="1"/>
  <c r="J41" i="7"/>
  <c r="T41" i="7"/>
  <c r="L352" i="1" l="1"/>
  <c r="L354" i="1" s="1"/>
  <c r="L376" i="1" s="1"/>
  <c r="M20" i="17"/>
  <c r="N20" i="17" s="1"/>
  <c r="O301" i="1"/>
  <c r="O303" i="1" s="1"/>
  <c r="O308" i="1" s="1"/>
  <c r="O309" i="1" s="1"/>
  <c r="N309" i="1"/>
  <c r="N373" i="1"/>
  <c r="M250" i="1"/>
  <c r="M352" i="1" s="1"/>
  <c r="O247" i="1"/>
  <c r="O245" i="1" s="1"/>
  <c r="N245" i="1"/>
  <c r="N246" i="1" s="1"/>
  <c r="N251" i="1" s="1"/>
  <c r="K41" i="7"/>
  <c r="V41" i="7" s="1"/>
  <c r="U41" i="7"/>
  <c r="O373" i="1" l="1"/>
  <c r="M354" i="1"/>
  <c r="M376" i="1" s="1"/>
  <c r="N250" i="1"/>
  <c r="N352" i="1" s="1"/>
  <c r="O246" i="1"/>
  <c r="O251" i="1" s="1"/>
  <c r="Y45" i="7"/>
  <c r="Z45" i="7"/>
  <c r="Z58" i="7"/>
  <c r="Z66" i="7" s="1"/>
  <c r="Y58" i="7"/>
  <c r="Y66" i="7" s="1"/>
  <c r="Z52" i="7"/>
  <c r="Y52" i="7"/>
  <c r="X56" i="7"/>
  <c r="Z39" i="7"/>
  <c r="Z56" i="7"/>
  <c r="Y56" i="7"/>
  <c r="Z49" i="7"/>
  <c r="Y49" i="7"/>
  <c r="J303" i="7"/>
  <c r="I303" i="7"/>
  <c r="H303" i="7"/>
  <c r="G303" i="7"/>
  <c r="F303" i="7"/>
  <c r="E303" i="7"/>
  <c r="D303" i="7"/>
  <c r="C303" i="7"/>
  <c r="B303" i="7"/>
  <c r="Y183" i="7"/>
  <c r="W183" i="7"/>
  <c r="V183" i="7"/>
  <c r="U183" i="7"/>
  <c r="Y180" i="7"/>
  <c r="W180" i="7"/>
  <c r="V180" i="7"/>
  <c r="U180" i="7"/>
  <c r="Y179" i="7"/>
  <c r="W179" i="7"/>
  <c r="V179" i="7"/>
  <c r="U179" i="7"/>
  <c r="Y167" i="7"/>
  <c r="W167" i="7"/>
  <c r="V167" i="7"/>
  <c r="U167" i="7"/>
  <c r="T183" i="7"/>
  <c r="T180" i="7"/>
  <c r="T179" i="7"/>
  <c r="T167" i="7"/>
  <c r="J265" i="7"/>
  <c r="I265" i="7"/>
  <c r="H265" i="7"/>
  <c r="G265" i="7"/>
  <c r="Z265" i="7" s="1"/>
  <c r="F265" i="7"/>
  <c r="E265" i="7"/>
  <c r="D265" i="7"/>
  <c r="C265" i="7"/>
  <c r="B265" i="7"/>
  <c r="J300" i="7"/>
  <c r="J301" i="7" s="1"/>
  <c r="J505" i="7" s="1"/>
  <c r="I300" i="7"/>
  <c r="I301" i="7" s="1"/>
  <c r="I505" i="7" s="1"/>
  <c r="H300" i="7"/>
  <c r="H301" i="7" s="1"/>
  <c r="H505" i="7" s="1"/>
  <c r="G300" i="7"/>
  <c r="G301" i="7" s="1"/>
  <c r="G505" i="7" s="1"/>
  <c r="F300" i="7"/>
  <c r="F301" i="7" s="1"/>
  <c r="F505" i="7" s="1"/>
  <c r="E300" i="7"/>
  <c r="E301" i="7" s="1"/>
  <c r="E505" i="7" s="1"/>
  <c r="D300" i="7"/>
  <c r="D301" i="7" s="1"/>
  <c r="D505" i="7" s="1"/>
  <c r="C300" i="7"/>
  <c r="C301" i="7" s="1"/>
  <c r="C505" i="7" s="1"/>
  <c r="B505" i="7"/>
  <c r="B314" i="7"/>
  <c r="R270" i="7"/>
  <c r="R266" i="7"/>
  <c r="O277" i="7"/>
  <c r="O281" i="7" s="1"/>
  <c r="O276" i="7"/>
  <c r="M277" i="7"/>
  <c r="M281" i="7" s="1"/>
  <c r="M276" i="7"/>
  <c r="L277" i="7"/>
  <c r="L281" i="7" s="1"/>
  <c r="L276" i="7"/>
  <c r="O274" i="7"/>
  <c r="M274" i="7"/>
  <c r="L274" i="7"/>
  <c r="O273" i="7"/>
  <c r="M273" i="7"/>
  <c r="L273" i="7"/>
  <c r="O271" i="7"/>
  <c r="M271" i="7"/>
  <c r="L271" i="7"/>
  <c r="Q271" i="7"/>
  <c r="Q270" i="7"/>
  <c r="Q266" i="7"/>
  <c r="Q233" i="7"/>
  <c r="Q232" i="7"/>
  <c r="Q231" i="7"/>
  <c r="J272" i="7"/>
  <c r="I272" i="7"/>
  <c r="H272" i="7"/>
  <c r="G272" i="7"/>
  <c r="Z272" i="7" s="1"/>
  <c r="F272" i="7"/>
  <c r="E272" i="7"/>
  <c r="E274" i="7" s="1"/>
  <c r="D272" i="7"/>
  <c r="C272" i="7"/>
  <c r="B272" i="7"/>
  <c r="J277" i="7"/>
  <c r="J287" i="7" s="1"/>
  <c r="I277" i="7"/>
  <c r="I287" i="7" s="1"/>
  <c r="H277" i="7"/>
  <c r="G277" i="7"/>
  <c r="G287" i="7" s="1"/>
  <c r="F277" i="7"/>
  <c r="F287" i="7" s="1"/>
  <c r="E277" i="7"/>
  <c r="E287" i="7" s="1"/>
  <c r="D277" i="7"/>
  <c r="D287" i="7" s="1"/>
  <c r="C277" i="7"/>
  <c r="C287" i="7" s="1"/>
  <c r="B277" i="7"/>
  <c r="B287" i="7" s="1"/>
  <c r="B288" i="7" s="1"/>
  <c r="J268" i="7"/>
  <c r="I234" i="7"/>
  <c r="H234" i="7"/>
  <c r="G234" i="7"/>
  <c r="F234" i="7"/>
  <c r="E234" i="7"/>
  <c r="D234" i="7"/>
  <c r="C234" i="7"/>
  <c r="B234" i="7"/>
  <c r="J234" i="7"/>
  <c r="I268" i="7"/>
  <c r="H268" i="7"/>
  <c r="G268" i="7"/>
  <c r="F268" i="7"/>
  <c r="J195" i="7"/>
  <c r="J200" i="7" s="1"/>
  <c r="J207" i="7" s="1"/>
  <c r="D195" i="7"/>
  <c r="D200" i="7" s="1"/>
  <c r="D207" i="7" s="1"/>
  <c r="C195" i="7"/>
  <c r="C196" i="7" s="1"/>
  <c r="B195" i="7"/>
  <c r="B200" i="7" s="1"/>
  <c r="J186" i="7"/>
  <c r="J502" i="7" s="1"/>
  <c r="D186" i="7"/>
  <c r="F502" i="7" s="1"/>
  <c r="C186" i="7"/>
  <c r="B186" i="7"/>
  <c r="Y185" i="7"/>
  <c r="AE185" i="7" s="1"/>
  <c r="W185" i="7"/>
  <c r="V185" i="7"/>
  <c r="U185" i="7"/>
  <c r="Q185" i="7"/>
  <c r="P185" i="7"/>
  <c r="J181" i="7"/>
  <c r="C328" i="7" s="1"/>
  <c r="D181" i="7"/>
  <c r="C181" i="7"/>
  <c r="B181" i="7"/>
  <c r="J168" i="7"/>
  <c r="D168" i="7"/>
  <c r="B428" i="7" s="1"/>
  <c r="C168" i="7"/>
  <c r="B168" i="7"/>
  <c r="Q167" i="7"/>
  <c r="P167" i="7"/>
  <c r="Y159" i="7"/>
  <c r="W159" i="7"/>
  <c r="E338" i="7" s="1"/>
  <c r="V159" i="7"/>
  <c r="B338" i="7" s="1"/>
  <c r="U159" i="7"/>
  <c r="T159" i="7"/>
  <c r="Q159" i="7"/>
  <c r="J479" i="7" s="1"/>
  <c r="P159" i="7"/>
  <c r="AD158" i="7"/>
  <c r="V158" i="7"/>
  <c r="AC158" i="7" s="1"/>
  <c r="U158" i="7"/>
  <c r="Q158" i="7"/>
  <c r="P158" i="7"/>
  <c r="I79" i="7"/>
  <c r="I75" i="7"/>
  <c r="J73" i="7"/>
  <c r="B358" i="7" s="1"/>
  <c r="I73" i="7"/>
  <c r="I83" i="7" s="1"/>
  <c r="H73" i="7"/>
  <c r="H83" i="7" s="1"/>
  <c r="G73" i="7"/>
  <c r="F73" i="7"/>
  <c r="E339" i="7" s="1"/>
  <c r="E73" i="7"/>
  <c r="E83" i="7" s="1"/>
  <c r="D73" i="7"/>
  <c r="D83" i="7" s="1"/>
  <c r="C73" i="7"/>
  <c r="C83" i="7" s="1"/>
  <c r="B73" i="7"/>
  <c r="J72" i="7"/>
  <c r="I72" i="7"/>
  <c r="I230" i="7" s="1"/>
  <c r="C53" i="7"/>
  <c r="C42" i="7"/>
  <c r="B533" i="7" s="1"/>
  <c r="AC26" i="7"/>
  <c r="O266" i="4" s="1"/>
  <c r="AC28" i="7"/>
  <c r="AD28" i="7" s="1"/>
  <c r="AE28" i="7" s="1"/>
  <c r="C135" i="7"/>
  <c r="D133" i="7" s="1"/>
  <c r="B125" i="7"/>
  <c r="C125" i="7"/>
  <c r="G241" i="7" l="1"/>
  <c r="G240" i="7"/>
  <c r="M42" i="7"/>
  <c r="B334" i="7"/>
  <c r="C317" i="7"/>
  <c r="B92" i="7" s="1"/>
  <c r="G238" i="7"/>
  <c r="K241" i="7"/>
  <c r="H287" i="7"/>
  <c r="H288" i="7" s="1"/>
  <c r="Q277" i="7"/>
  <c r="B317" i="7" s="1"/>
  <c r="C288" i="7"/>
  <c r="C285" i="7"/>
  <c r="E288" i="7"/>
  <c r="E285" i="7"/>
  <c r="G288" i="7"/>
  <c r="G285" i="7"/>
  <c r="D288" i="7"/>
  <c r="D285" i="7"/>
  <c r="F288" i="7"/>
  <c r="F285" i="7"/>
  <c r="I288" i="7"/>
  <c r="I285" i="7"/>
  <c r="J288" i="7"/>
  <c r="J285" i="7"/>
  <c r="C281" i="7"/>
  <c r="J208" i="7"/>
  <c r="J210" i="7"/>
  <c r="J211" i="7" s="1"/>
  <c r="J506" i="7" s="1"/>
  <c r="D208" i="7"/>
  <c r="D210" i="7"/>
  <c r="D211" i="7" s="1"/>
  <c r="F506" i="7" s="1"/>
  <c r="H281" i="7"/>
  <c r="F281" i="7"/>
  <c r="B201" i="7"/>
  <c r="J201" i="7"/>
  <c r="D201" i="7"/>
  <c r="I281" i="7"/>
  <c r="I479" i="7"/>
  <c r="H479" i="7" s="1"/>
  <c r="G479" i="7" s="1"/>
  <c r="F479" i="7" s="1"/>
  <c r="D281" i="7"/>
  <c r="G281" i="7"/>
  <c r="Z281" i="7" s="1"/>
  <c r="E281" i="7"/>
  <c r="B281" i="7"/>
  <c r="J281" i="7"/>
  <c r="C279" i="7"/>
  <c r="C500" i="7" s="1"/>
  <c r="L279" i="7"/>
  <c r="E279" i="7"/>
  <c r="E500" i="7" s="1"/>
  <c r="K248" i="7"/>
  <c r="K478" i="7" s="1"/>
  <c r="Z234" i="7"/>
  <c r="B320" i="7" s="1"/>
  <c r="M279" i="7"/>
  <c r="K278" i="7"/>
  <c r="Z277" i="7"/>
  <c r="O279" i="7"/>
  <c r="B279" i="7"/>
  <c r="B500" i="7" s="1"/>
  <c r="F338" i="7"/>
  <c r="G83" i="7"/>
  <c r="K74" i="7"/>
  <c r="N354" i="1"/>
  <c r="N376" i="1" s="1"/>
  <c r="O250" i="1"/>
  <c r="O352" i="1" s="1"/>
  <c r="O354" i="1" s="1"/>
  <c r="O376" i="1" s="1"/>
  <c r="F267" i="7"/>
  <c r="D267" i="7"/>
  <c r="C428" i="7"/>
  <c r="B448" i="7"/>
  <c r="J246" i="7"/>
  <c r="J245" i="7"/>
  <c r="J244" i="7"/>
  <c r="J243" i="7"/>
  <c r="I243" i="7"/>
  <c r="I246" i="7"/>
  <c r="I245" i="7"/>
  <c r="I244" i="7"/>
  <c r="E267" i="7"/>
  <c r="C245" i="7"/>
  <c r="C244" i="7"/>
  <c r="C243" i="7"/>
  <c r="C246" i="7"/>
  <c r="H244" i="7"/>
  <c r="H246" i="7"/>
  <c r="H245" i="7"/>
  <c r="H243" i="7"/>
  <c r="D244" i="7"/>
  <c r="D243" i="7"/>
  <c r="D246" i="7"/>
  <c r="D245" i="7"/>
  <c r="B243" i="7"/>
  <c r="B246" i="7"/>
  <c r="B245" i="7"/>
  <c r="B244" i="7"/>
  <c r="E243" i="7"/>
  <c r="E246" i="7"/>
  <c r="E245" i="7"/>
  <c r="E244" i="7"/>
  <c r="F244" i="7"/>
  <c r="F246" i="7"/>
  <c r="F245" i="7"/>
  <c r="F243" i="7"/>
  <c r="G244" i="7"/>
  <c r="G243" i="7"/>
  <c r="G245" i="7"/>
  <c r="G246" i="7"/>
  <c r="G267" i="7"/>
  <c r="H443" i="7"/>
  <c r="H442" i="7"/>
  <c r="J443" i="7"/>
  <c r="J442" i="7"/>
  <c r="I443" i="7"/>
  <c r="I442" i="7"/>
  <c r="X230" i="7"/>
  <c r="I441" i="7"/>
  <c r="I476" i="7" s="1"/>
  <c r="I499" i="7" s="1"/>
  <c r="I504" i="7" s="1"/>
  <c r="D443" i="7"/>
  <c r="D442" i="7"/>
  <c r="H267" i="7"/>
  <c r="C443" i="7"/>
  <c r="C442" i="7"/>
  <c r="E443" i="7"/>
  <c r="E442" i="7"/>
  <c r="I267" i="7"/>
  <c r="F443" i="7"/>
  <c r="F442" i="7"/>
  <c r="B267" i="7"/>
  <c r="J267" i="7"/>
  <c r="B443" i="7"/>
  <c r="B442" i="7"/>
  <c r="G442" i="7"/>
  <c r="G443" i="7"/>
  <c r="C267" i="7"/>
  <c r="C276" i="7"/>
  <c r="B276" i="7"/>
  <c r="D276" i="7"/>
  <c r="F341" i="7"/>
  <c r="E276" i="7"/>
  <c r="E341" i="7"/>
  <c r="E342" i="7" s="1"/>
  <c r="C358" i="7"/>
  <c r="J83" i="7"/>
  <c r="F339" i="7"/>
  <c r="X234" i="7"/>
  <c r="V272" i="7"/>
  <c r="W272" i="7"/>
  <c r="U265" i="7"/>
  <c r="X272" i="7"/>
  <c r="C330" i="7"/>
  <c r="B218" i="7"/>
  <c r="V265" i="7"/>
  <c r="W265" i="7"/>
  <c r="X265" i="7"/>
  <c r="Y265" i="7"/>
  <c r="M248" i="7"/>
  <c r="W234" i="7"/>
  <c r="J276" i="7"/>
  <c r="Y234" i="7"/>
  <c r="H279" i="7"/>
  <c r="H500" i="7" s="1"/>
  <c r="W277" i="7"/>
  <c r="G279" i="7"/>
  <c r="G500" i="7" s="1"/>
  <c r="V277" i="7"/>
  <c r="J279" i="7"/>
  <c r="Y277" i="7"/>
  <c r="B322" i="7" s="1"/>
  <c r="F274" i="7"/>
  <c r="U272" i="7"/>
  <c r="Y272" i="7"/>
  <c r="I279" i="7"/>
  <c r="I500" i="7" s="1"/>
  <c r="X277" i="7"/>
  <c r="U234" i="7"/>
  <c r="V234" i="7"/>
  <c r="F279" i="7"/>
  <c r="F500" i="7" s="1"/>
  <c r="U277" i="7"/>
  <c r="I276" i="7"/>
  <c r="O248" i="7"/>
  <c r="G276" i="7"/>
  <c r="L248" i="7"/>
  <c r="F83" i="7"/>
  <c r="P73" i="7"/>
  <c r="B83" i="7"/>
  <c r="O73" i="7"/>
  <c r="F248" i="7"/>
  <c r="F478" i="7" s="1"/>
  <c r="D273" i="7"/>
  <c r="H278" i="7"/>
  <c r="R271" i="7"/>
  <c r="R279" i="7"/>
  <c r="M278" i="7"/>
  <c r="L278" i="7"/>
  <c r="O278" i="7"/>
  <c r="B273" i="7"/>
  <c r="C273" i="7"/>
  <c r="G278" i="7"/>
  <c r="H248" i="7"/>
  <c r="H478" i="7" s="1"/>
  <c r="B274" i="7"/>
  <c r="Q234" i="7"/>
  <c r="B341" i="7" s="1"/>
  <c r="D274" i="7"/>
  <c r="C274" i="7"/>
  <c r="G273" i="7"/>
  <c r="H273" i="7"/>
  <c r="G274" i="7"/>
  <c r="I273" i="7"/>
  <c r="H274" i="7"/>
  <c r="D279" i="7"/>
  <c r="D500" i="7" s="1"/>
  <c r="J273" i="7"/>
  <c r="B450" i="7" s="1"/>
  <c r="J274" i="7"/>
  <c r="B328" i="7" s="1"/>
  <c r="I274" i="7"/>
  <c r="E273" i="7"/>
  <c r="F278" i="7"/>
  <c r="F273" i="7"/>
  <c r="I278" i="7"/>
  <c r="J278" i="7"/>
  <c r="I248" i="7"/>
  <c r="I478" i="7" s="1"/>
  <c r="G248" i="7"/>
  <c r="G478" i="7" s="1"/>
  <c r="AC185" i="7"/>
  <c r="U168" i="7"/>
  <c r="F276" i="7"/>
  <c r="H276" i="7"/>
  <c r="J248" i="7"/>
  <c r="J478" i="7" s="1"/>
  <c r="Y168" i="7"/>
  <c r="AD159" i="7"/>
  <c r="AD185" i="7"/>
  <c r="C322" i="7" s="1"/>
  <c r="B216" i="7"/>
  <c r="AC167" i="7"/>
  <c r="W168" i="7"/>
  <c r="AC159" i="7"/>
  <c r="AD167" i="7"/>
  <c r="C321" i="7" s="1"/>
  <c r="C200" i="7"/>
  <c r="B196" i="7"/>
  <c r="V168" i="7"/>
  <c r="I84" i="7"/>
  <c r="H74" i="7"/>
  <c r="H477" i="7" s="1"/>
  <c r="I81" i="7"/>
  <c r="G74" i="7"/>
  <c r="G477" i="7" s="1"/>
  <c r="I74" i="7"/>
  <c r="I477" i="7" s="1"/>
  <c r="F74" i="7"/>
  <c r="F477" i="7" s="1"/>
  <c r="I78" i="7"/>
  <c r="J74" i="7"/>
  <c r="I85" i="7"/>
  <c r="C54" i="7"/>
  <c r="D134" i="7"/>
  <c r="D130" i="7"/>
  <c r="D131" i="7"/>
  <c r="D132" i="7"/>
  <c r="B349" i="7" l="1"/>
  <c r="K477" i="7"/>
  <c r="D320" i="7"/>
  <c r="H285" i="7"/>
  <c r="Y281" i="7"/>
  <c r="U281" i="7"/>
  <c r="W281" i="7"/>
  <c r="X281" i="7"/>
  <c r="C201" i="7"/>
  <c r="B330" i="7"/>
  <c r="J500" i="7"/>
  <c r="V281" i="7"/>
  <c r="B350" i="7"/>
  <c r="J477" i="7"/>
  <c r="B351" i="7"/>
  <c r="F444" i="7"/>
  <c r="D444" i="7"/>
  <c r="C444" i="7"/>
  <c r="H444" i="7"/>
  <c r="B444" i="7"/>
  <c r="I444" i="7"/>
  <c r="J444" i="7"/>
  <c r="B446" i="7" s="1"/>
  <c r="F342" i="7"/>
  <c r="G342" i="7" s="1"/>
  <c r="B353" i="7" s="1"/>
  <c r="G444" i="7"/>
  <c r="E444" i="7"/>
  <c r="C335" i="7"/>
  <c r="B335" i="7"/>
  <c r="Q279" i="7"/>
  <c r="I87" i="7"/>
  <c r="D135" i="7"/>
  <c r="C126" i="7" l="1"/>
  <c r="D53" i="7" l="1"/>
  <c r="B54" i="7"/>
  <c r="B49" i="7"/>
  <c r="B47" i="7"/>
  <c r="B50" i="7"/>
  <c r="D42" i="7"/>
  <c r="J355" i="9"/>
  <c r="I355" i="9"/>
  <c r="G355" i="9"/>
  <c r="F355" i="9"/>
  <c r="E355" i="9"/>
  <c r="D355" i="9"/>
  <c r="C355" i="9"/>
  <c r="P244" i="4"/>
  <c r="K355" i="9" s="1"/>
  <c r="P242" i="4"/>
  <c r="P250" i="4" s="1"/>
  <c r="C275" i="4"/>
  <c r="B339" i="7" l="1"/>
  <c r="B359" i="7" s="1"/>
  <c r="C359" i="7" s="1"/>
  <c r="C533" i="7"/>
  <c r="AH244" i="4"/>
  <c r="H355" i="9"/>
  <c r="AC242" i="4"/>
  <c r="AD242" i="4"/>
  <c r="AH242" i="4"/>
  <c r="AE242" i="4"/>
  <c r="Q258" i="4"/>
  <c r="AG242" i="4"/>
  <c r="AK242" i="4"/>
  <c r="AF242" i="4"/>
  <c r="AJ242" i="4"/>
  <c r="Q243" i="4"/>
  <c r="R244" i="4"/>
  <c r="D20" i="13"/>
  <c r="D66" i="13" s="1"/>
  <c r="P245" i="4"/>
  <c r="T244" i="4"/>
  <c r="D19" i="13"/>
  <c r="D65" i="13" s="1"/>
  <c r="AG244" i="4"/>
  <c r="D54" i="7"/>
  <c r="O54" i="7" s="1"/>
  <c r="AB244" i="4"/>
  <c r="AE244" i="4"/>
  <c r="AC244" i="4"/>
  <c r="AF244" i="4"/>
  <c r="AD244" i="4"/>
  <c r="E354" i="9"/>
  <c r="F354" i="9"/>
  <c r="P247" i="4"/>
  <c r="P243" i="4"/>
  <c r="I354" i="9"/>
  <c r="G354" i="9"/>
  <c r="H354" i="9"/>
  <c r="C354" i="9"/>
  <c r="D354" i="9"/>
  <c r="R277" i="4"/>
  <c r="O42" i="7"/>
  <c r="E42" i="7"/>
  <c r="B55" i="7"/>
  <c r="M54" i="7"/>
  <c r="S193" i="4"/>
  <c r="S240" i="4" s="1"/>
  <c r="F20" i="15" s="1"/>
  <c r="R193" i="4"/>
  <c r="R240" i="4" s="1"/>
  <c r="E20" i="15" s="1"/>
  <c r="Q193" i="4"/>
  <c r="N587" i="9" s="1"/>
  <c r="P193" i="4"/>
  <c r="P195" i="4"/>
  <c r="P199" i="4" s="1"/>
  <c r="M588" i="9" s="1"/>
  <c r="R195" i="4"/>
  <c r="V195" i="4" s="1"/>
  <c r="AX56" i="8"/>
  <c r="AW56" i="8"/>
  <c r="AV56" i="8"/>
  <c r="AU56" i="8"/>
  <c r="AT56" i="8"/>
  <c r="AY54" i="8"/>
  <c r="AX54" i="8"/>
  <c r="AW54" i="8"/>
  <c r="AV54" i="8"/>
  <c r="AM52" i="8"/>
  <c r="AK52" i="8"/>
  <c r="AJ52" i="8"/>
  <c r="AI52" i="8"/>
  <c r="AH52" i="8"/>
  <c r="AG52" i="8"/>
  <c r="AF52" i="8"/>
  <c r="AE52" i="8"/>
  <c r="AY51" i="8"/>
  <c r="AX51" i="8"/>
  <c r="AX50" i="8"/>
  <c r="AW50" i="8"/>
  <c r="AV50" i="8"/>
  <c r="AU50" i="8"/>
  <c r="AT50" i="8"/>
  <c r="AL50" i="8"/>
  <c r="AL52" i="8" s="1"/>
  <c r="AM42" i="8"/>
  <c r="AK42" i="8"/>
  <c r="AJ42" i="8"/>
  <c r="AX41" i="8"/>
  <c r="G211" i="1" s="1"/>
  <c r="G466" i="9" s="1"/>
  <c r="AL41" i="8"/>
  <c r="O195" i="4" s="1"/>
  <c r="AY38" i="8"/>
  <c r="AX38" i="8"/>
  <c r="AM38" i="8"/>
  <c r="AK38" i="8"/>
  <c r="AJ38" i="8"/>
  <c r="AI38" i="8"/>
  <c r="AH38" i="8"/>
  <c r="AG38" i="8"/>
  <c r="AF38" i="8"/>
  <c r="AL37" i="8"/>
  <c r="AL36" i="8"/>
  <c r="AL35" i="8"/>
  <c r="AL34" i="8"/>
  <c r="AL32" i="8"/>
  <c r="AL31" i="8"/>
  <c r="AL30" i="8"/>
  <c r="AL28" i="8"/>
  <c r="V22" i="8"/>
  <c r="U22" i="8"/>
  <c r="T22" i="8"/>
  <c r="S22" i="8"/>
  <c r="R22" i="8"/>
  <c r="Q22" i="8"/>
  <c r="P22" i="8"/>
  <c r="O22" i="8"/>
  <c r="AY20" i="8"/>
  <c r="AX20" i="8"/>
  <c r="AK15" i="8"/>
  <c r="AJ15" i="8"/>
  <c r="AI15" i="8"/>
  <c r="AH15" i="8"/>
  <c r="AG15" i="8"/>
  <c r="AF15" i="8"/>
  <c r="AE15" i="8"/>
  <c r="AD15" i="8"/>
  <c r="Y15" i="8"/>
  <c r="X15" i="8"/>
  <c r="W15" i="8"/>
  <c r="V15" i="8"/>
  <c r="U15" i="8"/>
  <c r="T15" i="8"/>
  <c r="S15" i="8"/>
  <c r="R15" i="8"/>
  <c r="Q15" i="8"/>
  <c r="P15" i="8"/>
  <c r="O15" i="8"/>
  <c r="N15" i="8"/>
  <c r="M15" i="8"/>
  <c r="L15" i="8"/>
  <c r="K15" i="8"/>
  <c r="J15" i="8"/>
  <c r="I15" i="8"/>
  <c r="H15" i="8"/>
  <c r="G15" i="8"/>
  <c r="AY14" i="8"/>
  <c r="AX14" i="8"/>
  <c r="AW14" i="8"/>
  <c r="AV14" i="8"/>
  <c r="AU14" i="8"/>
  <c r="AT14" i="8"/>
  <c r="AS14" i="8"/>
  <c r="AR14" i="8"/>
  <c r="AQ14" i="8"/>
  <c r="AM13" i="8"/>
  <c r="AM17" i="8" s="1"/>
  <c r="AM24" i="8" s="1"/>
  <c r="AL13" i="8"/>
  <c r="AL17" i="8" s="1"/>
  <c r="AL24" i="8" s="1"/>
  <c r="AK13" i="8"/>
  <c r="AK17" i="8" s="1"/>
  <c r="AJ13" i="8"/>
  <c r="AJ17" i="8" s="1"/>
  <c r="AI13" i="8"/>
  <c r="AI17" i="8" s="1"/>
  <c r="AH13" i="8"/>
  <c r="AH17" i="8" s="1"/>
  <c r="AG13" i="8"/>
  <c r="AG17" i="8" s="1"/>
  <c r="AG24" i="8" s="1"/>
  <c r="AF13" i="8"/>
  <c r="AF17" i="8" s="1"/>
  <c r="AE13" i="8"/>
  <c r="AE17" i="8" s="1"/>
  <c r="AD13" i="8"/>
  <c r="AD17" i="8" s="1"/>
  <c r="AC13" i="8"/>
  <c r="AC17" i="8" s="1"/>
  <c r="AB13" i="8"/>
  <c r="AB17" i="8" s="1"/>
  <c r="AA13" i="8"/>
  <c r="Z13" i="8"/>
  <c r="Z17" i="8" s="1"/>
  <c r="Y13" i="8"/>
  <c r="Y17" i="8" s="1"/>
  <c r="X13" i="8"/>
  <c r="X17" i="8" s="1"/>
  <c r="W13" i="8"/>
  <c r="W17" i="8" s="1"/>
  <c r="V13" i="8"/>
  <c r="V17" i="8" s="1"/>
  <c r="U13" i="8"/>
  <c r="U17" i="8" s="1"/>
  <c r="T13" i="8"/>
  <c r="T17" i="8" s="1"/>
  <c r="S13" i="8"/>
  <c r="S17" i="8" s="1"/>
  <c r="R13" i="8"/>
  <c r="R17" i="8" s="1"/>
  <c r="Q13" i="8"/>
  <c r="Q17" i="8" s="1"/>
  <c r="P13" i="8"/>
  <c r="P17" i="8" s="1"/>
  <c r="O13" i="8"/>
  <c r="N13" i="8"/>
  <c r="N17" i="8" s="1"/>
  <c r="M13" i="8"/>
  <c r="M17" i="8" s="1"/>
  <c r="L13" i="8"/>
  <c r="L17" i="8" s="1"/>
  <c r="K13" i="8"/>
  <c r="K17" i="8" s="1"/>
  <c r="J13" i="8"/>
  <c r="J17" i="8" s="1"/>
  <c r="I13" i="8"/>
  <c r="I17" i="8" s="1"/>
  <c r="H13" i="8"/>
  <c r="H17" i="8" s="1"/>
  <c r="G13" i="8"/>
  <c r="F13" i="8"/>
  <c r="F17" i="8" s="1"/>
  <c r="E13" i="8"/>
  <c r="E17" i="8" s="1"/>
  <c r="D13" i="8"/>
  <c r="D17" i="8" s="1"/>
  <c r="C13" i="8"/>
  <c r="C17" i="8" s="1"/>
  <c r="AM11" i="8"/>
  <c r="AK11" i="8"/>
  <c r="AJ11" i="8"/>
  <c r="AI11" i="8"/>
  <c r="AH11" i="8"/>
  <c r="AG11" i="8"/>
  <c r="AF11" i="8"/>
  <c r="AE11" i="8"/>
  <c r="AD11" i="8"/>
  <c r="AC11" i="8"/>
  <c r="AB11" i="8"/>
  <c r="AA11" i="8"/>
  <c r="Z11" i="8"/>
  <c r="Y11" i="8"/>
  <c r="X11" i="8"/>
  <c r="V11" i="8"/>
  <c r="U11" i="8"/>
  <c r="T11" i="8"/>
  <c r="S11" i="8"/>
  <c r="R11" i="8"/>
  <c r="Q11" i="8"/>
  <c r="P11" i="8"/>
  <c r="O11" i="8"/>
  <c r="N11" i="8"/>
  <c r="M11" i="8"/>
  <c r="L11" i="8"/>
  <c r="K11" i="8"/>
  <c r="J11" i="8"/>
  <c r="I11" i="8"/>
  <c r="H11" i="8"/>
  <c r="G11" i="8"/>
  <c r="AX10" i="8"/>
  <c r="AW10" i="8"/>
  <c r="AV10" i="8"/>
  <c r="AU10" i="8"/>
  <c r="AT10" i="8"/>
  <c r="AS10" i="8"/>
  <c r="AR10" i="8"/>
  <c r="AQ10" i="8"/>
  <c r="AL10" i="8"/>
  <c r="AY10" i="8" s="1"/>
  <c r="D5" i="8"/>
  <c r="E40" i="4"/>
  <c r="D40" i="4"/>
  <c r="F39" i="4"/>
  <c r="E39" i="4"/>
  <c r="D39" i="4"/>
  <c r="D38" i="4"/>
  <c r="F37" i="4"/>
  <c r="E37" i="4"/>
  <c r="D37" i="4"/>
  <c r="F36" i="4"/>
  <c r="E36" i="4"/>
  <c r="D36" i="4"/>
  <c r="F35" i="4"/>
  <c r="E35" i="4"/>
  <c r="D35" i="4"/>
  <c r="F34" i="4"/>
  <c r="E34" i="4"/>
  <c r="D34" i="4"/>
  <c r="F29" i="4"/>
  <c r="E29" i="4"/>
  <c r="D29" i="4"/>
  <c r="F27" i="4"/>
  <c r="F275" i="4" s="1"/>
  <c r="E27" i="4"/>
  <c r="E275" i="4" s="1"/>
  <c r="D27" i="4"/>
  <c r="D275" i="4" s="1"/>
  <c r="F26" i="4"/>
  <c r="E26" i="4"/>
  <c r="D26" i="4"/>
  <c r="F25" i="4"/>
  <c r="E25" i="4"/>
  <c r="D25" i="4"/>
  <c r="F24" i="4"/>
  <c r="E24" i="4"/>
  <c r="D24" i="4"/>
  <c r="F12" i="4"/>
  <c r="E12" i="4"/>
  <c r="D12" i="4"/>
  <c r="F10" i="4"/>
  <c r="E10" i="4"/>
  <c r="D10" i="4"/>
  <c r="F9" i="4"/>
  <c r="E9" i="4"/>
  <c r="D9" i="4"/>
  <c r="F8" i="4"/>
  <c r="E8" i="4"/>
  <c r="D8" i="4"/>
  <c r="F7" i="4"/>
  <c r="E7" i="4"/>
  <c r="D7" i="4"/>
  <c r="P39" i="4"/>
  <c r="P37" i="4"/>
  <c r="P36" i="4"/>
  <c r="P35" i="4"/>
  <c r="P34" i="4"/>
  <c r="AH30" i="4"/>
  <c r="L281" i="9" s="1"/>
  <c r="P29" i="4"/>
  <c r="P27" i="4"/>
  <c r="P275" i="4" s="1"/>
  <c r="AK275" i="4" s="1"/>
  <c r="P26" i="4"/>
  <c r="P25" i="4"/>
  <c r="P24" i="4"/>
  <c r="P12" i="4"/>
  <c r="AH11" i="4"/>
  <c r="P10" i="4"/>
  <c r="P9" i="4"/>
  <c r="P8" i="4"/>
  <c r="P7" i="4"/>
  <c r="C45" i="4"/>
  <c r="C46" i="4"/>
  <c r="C47" i="4"/>
  <c r="C48" i="4"/>
  <c r="C49" i="4"/>
  <c r="AH23" i="6"/>
  <c r="O202" i="4" l="1"/>
  <c r="O199" i="4"/>
  <c r="L588" i="9" s="1"/>
  <c r="P240" i="4"/>
  <c r="C20" i="15" s="1"/>
  <c r="M587" i="9"/>
  <c r="I150" i="9"/>
  <c r="B345" i="7"/>
  <c r="C344" i="7" s="1"/>
  <c r="Q240" i="4"/>
  <c r="D20" i="15" s="1"/>
  <c r="D508" i="9"/>
  <c r="H143" i="9"/>
  <c r="H149" i="9" s="1"/>
  <c r="H168" i="9" s="1"/>
  <c r="C508" i="9"/>
  <c r="S261" i="4"/>
  <c r="AJ261" i="4" s="1"/>
  <c r="D533" i="7"/>
  <c r="G468" i="9"/>
  <c r="G469" i="9" s="1"/>
  <c r="T195" i="4"/>
  <c r="G442" i="9"/>
  <c r="C442" i="9" s="1"/>
  <c r="D21" i="13"/>
  <c r="D67" i="13" s="1"/>
  <c r="K354" i="9"/>
  <c r="C316" i="9"/>
  <c r="J354" i="9"/>
  <c r="AM277" i="4"/>
  <c r="H150" i="9"/>
  <c r="Q20" i="4"/>
  <c r="AH13" i="4"/>
  <c r="U195" i="4"/>
  <c r="AH195" i="4"/>
  <c r="L172" i="9" s="1"/>
  <c r="AH28" i="4"/>
  <c r="I143" i="9"/>
  <c r="I149" i="9" s="1"/>
  <c r="I168" i="9" s="1"/>
  <c r="L249" i="9"/>
  <c r="E249" i="9"/>
  <c r="J143" i="9"/>
  <c r="J149" i="9" s="1"/>
  <c r="J168" i="9" s="1"/>
  <c r="M249" i="9"/>
  <c r="C143" i="9"/>
  <c r="C149" i="9" s="1"/>
  <c r="F249" i="9"/>
  <c r="D143" i="9"/>
  <c r="D149" i="9" s="1"/>
  <c r="G249" i="9"/>
  <c r="E143" i="9"/>
  <c r="E149" i="9" s="1"/>
  <c r="H249" i="9"/>
  <c r="F143" i="9"/>
  <c r="F149" i="9" s="1"/>
  <c r="F168" i="9" s="1"/>
  <c r="I249" i="9"/>
  <c r="G143" i="9"/>
  <c r="G149" i="9" s="1"/>
  <c r="G168" i="9" s="1"/>
  <c r="J249" i="9"/>
  <c r="B360" i="7"/>
  <c r="C360" i="7" s="1"/>
  <c r="E150" i="9"/>
  <c r="D150" i="9"/>
  <c r="F150" i="9"/>
  <c r="C150" i="9"/>
  <c r="G150" i="9"/>
  <c r="C48" i="9"/>
  <c r="D48" i="9"/>
  <c r="Q247" i="4"/>
  <c r="L354" i="9" s="1"/>
  <c r="T247" i="4"/>
  <c r="E20" i="13"/>
  <c r="E66" i="13" s="1"/>
  <c r="Q245" i="4"/>
  <c r="U244" i="4"/>
  <c r="F20" i="13"/>
  <c r="F66" i="13" s="1"/>
  <c r="R245" i="4"/>
  <c r="V244" i="4"/>
  <c r="R242" i="4"/>
  <c r="R250" i="4" s="1"/>
  <c r="AY11" i="8"/>
  <c r="E19" i="13"/>
  <c r="E65" i="13" s="1"/>
  <c r="AX11" i="8"/>
  <c r="AT15" i="8"/>
  <c r="AY52" i="8"/>
  <c r="AU11" i="8"/>
  <c r="AS11" i="8"/>
  <c r="AV11" i="8"/>
  <c r="AR11" i="8"/>
  <c r="AT11" i="8"/>
  <c r="AX15" i="8"/>
  <c r="H18" i="8"/>
  <c r="I18" i="8"/>
  <c r="AR15" i="8"/>
  <c r="AY41" i="8"/>
  <c r="H211" i="1" s="1"/>
  <c r="AU15" i="8"/>
  <c r="AW11" i="8"/>
  <c r="AS15" i="8"/>
  <c r="AL42" i="8"/>
  <c r="AW15" i="8"/>
  <c r="AX52" i="8"/>
  <c r="AL38" i="8"/>
  <c r="AH223" i="4"/>
  <c r="AH222" i="4"/>
  <c r="AF247" i="4"/>
  <c r="AD247" i="4"/>
  <c r="AE247" i="4"/>
  <c r="C511" i="9"/>
  <c r="AC247" i="4"/>
  <c r="AG247" i="4"/>
  <c r="AB247" i="4"/>
  <c r="AC28" i="4"/>
  <c r="AD195" i="4"/>
  <c r="H172" i="9" s="1"/>
  <c r="AD28" i="4"/>
  <c r="AG195" i="4"/>
  <c r="K172" i="9" s="1"/>
  <c r="AE28" i="4"/>
  <c r="AB275" i="4"/>
  <c r="AH304" i="4"/>
  <c r="AD275" i="4"/>
  <c r="AE11" i="4"/>
  <c r="AE13" i="4"/>
  <c r="AE275" i="4"/>
  <c r="AE30" i="4"/>
  <c r="I281" i="9" s="1"/>
  <c r="AB195" i="4"/>
  <c r="F172" i="9" s="1"/>
  <c r="AF275" i="4"/>
  <c r="AC195" i="4"/>
  <c r="G172" i="9" s="1"/>
  <c r="AC275" i="4"/>
  <c r="AG275" i="4"/>
  <c r="AI275" i="4"/>
  <c r="E54" i="7"/>
  <c r="D70" i="10" s="1"/>
  <c r="F42" i="7"/>
  <c r="B56" i="7"/>
  <c r="AY13" i="8"/>
  <c r="J18" i="8"/>
  <c r="AW13" i="8"/>
  <c r="AQ17" i="8"/>
  <c r="AR13" i="8"/>
  <c r="AT13" i="8"/>
  <c r="AV13" i="8"/>
  <c r="AX13" i="8"/>
  <c r="AV15" i="8"/>
  <c r="G17" i="8"/>
  <c r="AR17" i="8" s="1"/>
  <c r="AQ13" i="8"/>
  <c r="O17" i="8"/>
  <c r="O24" i="8" s="1"/>
  <c r="AE195" i="4"/>
  <c r="I172" i="9" s="1"/>
  <c r="AF195" i="4"/>
  <c r="J172" i="9" s="1"/>
  <c r="AC13" i="4"/>
  <c r="AC30" i="4"/>
  <c r="G281" i="9" s="1"/>
  <c r="AD30" i="4"/>
  <c r="H281" i="9" s="1"/>
  <c r="R201" i="4"/>
  <c r="V201" i="4" s="1"/>
  <c r="Q18" i="8"/>
  <c r="Q24" i="8"/>
  <c r="Y18" i="8"/>
  <c r="Y24" i="8"/>
  <c r="AV17" i="8"/>
  <c r="R18" i="8"/>
  <c r="R24" i="8"/>
  <c r="AS17" i="8"/>
  <c r="S24" i="8"/>
  <c r="AU17" i="8"/>
  <c r="AI24" i="8"/>
  <c r="AI18" i="8"/>
  <c r="AY17" i="8"/>
  <c r="P18" i="8"/>
  <c r="P24" i="8"/>
  <c r="L18" i="8"/>
  <c r="T24" i="8"/>
  <c r="T18" i="8"/>
  <c r="AB24" i="8"/>
  <c r="AB18" i="8"/>
  <c r="AJ24" i="8"/>
  <c r="AJ18" i="8"/>
  <c r="AH24" i="8"/>
  <c r="AH18" i="8"/>
  <c r="M18" i="8"/>
  <c r="U18" i="8"/>
  <c r="U24" i="8"/>
  <c r="AC18" i="8"/>
  <c r="AC24" i="8"/>
  <c r="AK24" i="8"/>
  <c r="AK25" i="8" s="1"/>
  <c r="AK18" i="8"/>
  <c r="X18" i="8"/>
  <c r="X24" i="8"/>
  <c r="Z18" i="8"/>
  <c r="Z24" i="8"/>
  <c r="N18" i="8"/>
  <c r="V24" i="8"/>
  <c r="V18" i="8"/>
  <c r="AD24" i="8"/>
  <c r="AD18" i="8"/>
  <c r="AX17" i="8"/>
  <c r="AF18" i="8"/>
  <c r="AF24" i="8"/>
  <c r="E5" i="8"/>
  <c r="AL11" i="8"/>
  <c r="W24" i="8"/>
  <c r="AE24" i="8"/>
  <c r="AS13" i="8"/>
  <c r="W18" i="8"/>
  <c r="AY50" i="8"/>
  <c r="AC11" i="4"/>
  <c r="AU13" i="8"/>
  <c r="AA17" i="8"/>
  <c r="AE18" i="8" s="1"/>
  <c r="AD13" i="4"/>
  <c r="AD11" i="4"/>
  <c r="B101" i="7"/>
  <c r="H118" i="1"/>
  <c r="G118" i="1"/>
  <c r="F118" i="1"/>
  <c r="E118" i="1"/>
  <c r="D118" i="1"/>
  <c r="H117" i="1"/>
  <c r="C43" i="13" s="1"/>
  <c r="G117" i="1"/>
  <c r="F117" i="1"/>
  <c r="E117" i="1"/>
  <c r="D117" i="1"/>
  <c r="E112" i="1"/>
  <c r="D112" i="1"/>
  <c r="H110" i="1"/>
  <c r="G110" i="1"/>
  <c r="F110" i="1"/>
  <c r="E110" i="1"/>
  <c r="D110" i="1"/>
  <c r="H109" i="1"/>
  <c r="G109" i="1"/>
  <c r="F109" i="1"/>
  <c r="E109" i="1"/>
  <c r="D109" i="1"/>
  <c r="E69" i="1"/>
  <c r="D69" i="1"/>
  <c r="F52" i="1"/>
  <c r="H48" i="1"/>
  <c r="G48" i="1"/>
  <c r="F48" i="1"/>
  <c r="E48" i="1"/>
  <c r="D48" i="1"/>
  <c r="H37" i="1"/>
  <c r="G37" i="1"/>
  <c r="F37" i="1"/>
  <c r="E37" i="1"/>
  <c r="D37" i="1"/>
  <c r="C118" i="1"/>
  <c r="C117" i="1"/>
  <c r="C112" i="1"/>
  <c r="C110" i="1"/>
  <c r="C109" i="1"/>
  <c r="C69" i="1"/>
  <c r="C48" i="1"/>
  <c r="C37" i="1"/>
  <c r="C101" i="7"/>
  <c r="B96" i="7"/>
  <c r="N249" i="9" l="1"/>
  <c r="P289" i="4"/>
  <c r="K143" i="9" s="1"/>
  <c r="K149" i="9" s="1"/>
  <c r="K168" i="9" s="1"/>
  <c r="C342" i="7"/>
  <c r="C341" i="7"/>
  <c r="H149" i="1"/>
  <c r="G142" i="1"/>
  <c r="O249" i="9"/>
  <c r="C339" i="7"/>
  <c r="C343" i="7"/>
  <c r="C338" i="7"/>
  <c r="C340" i="7"/>
  <c r="Q289" i="4"/>
  <c r="L143" i="9" s="1"/>
  <c r="L149" i="9" s="1"/>
  <c r="L168" i="9" s="1"/>
  <c r="K249" i="9"/>
  <c r="C510" i="9"/>
  <c r="E510" i="9" s="1"/>
  <c r="E511" i="9"/>
  <c r="W261" i="4"/>
  <c r="AN261" i="4" s="1"/>
  <c r="E533" i="7"/>
  <c r="G470" i="9"/>
  <c r="H212" i="1"/>
  <c r="H466" i="9"/>
  <c r="C447" i="9"/>
  <c r="D447" i="9" s="1"/>
  <c r="D442" i="9"/>
  <c r="AE17" i="4"/>
  <c r="I169" i="9" s="1"/>
  <c r="AD258" i="4"/>
  <c r="AH17" i="4"/>
  <c r="AD17" i="4"/>
  <c r="H169" i="9" s="1"/>
  <c r="F19" i="13"/>
  <c r="F65" i="13" s="1"/>
  <c r="AI242" i="4"/>
  <c r="AM242" i="4"/>
  <c r="AC17" i="4"/>
  <c r="G169" i="9" s="1"/>
  <c r="AH258" i="4"/>
  <c r="AC258" i="4"/>
  <c r="AB255" i="4"/>
  <c r="AE255" i="4"/>
  <c r="AE258" i="4"/>
  <c r="AH252" i="4"/>
  <c r="AC255" i="4"/>
  <c r="U201" i="4"/>
  <c r="U11" i="4" s="1"/>
  <c r="AH201" i="4"/>
  <c r="AD205" i="4"/>
  <c r="AH204" i="4"/>
  <c r="D23" i="15" s="1"/>
  <c r="AH255" i="4"/>
  <c r="D21" i="15" s="1"/>
  <c r="E21" i="13"/>
  <c r="E67" i="13" s="1"/>
  <c r="AH247" i="4"/>
  <c r="Q253" i="4"/>
  <c r="AD304" i="4"/>
  <c r="R221" i="4"/>
  <c r="AE304" i="4"/>
  <c r="AC304" i="4"/>
  <c r="C44" i="13"/>
  <c r="F139" i="1"/>
  <c r="G139" i="1"/>
  <c r="V245" i="4"/>
  <c r="V247" i="4"/>
  <c r="V11" i="4"/>
  <c r="V202" i="4"/>
  <c r="U245" i="4"/>
  <c r="U247" i="4"/>
  <c r="AL247" i="4" s="1"/>
  <c r="AK247" i="4"/>
  <c r="G144" i="1"/>
  <c r="D139" i="1"/>
  <c r="E139" i="1"/>
  <c r="R247" i="4"/>
  <c r="F21" i="13" s="1"/>
  <c r="F67" i="13" s="1"/>
  <c r="E144" i="1"/>
  <c r="S243" i="4"/>
  <c r="F144" i="1"/>
  <c r="D144" i="1"/>
  <c r="AF25" i="8"/>
  <c r="G224" i="1"/>
  <c r="I211" i="1"/>
  <c r="J26" i="17" s="1"/>
  <c r="K18" i="8"/>
  <c r="AE223" i="4"/>
  <c r="G18" i="8"/>
  <c r="AD223" i="4"/>
  <c r="AH227" i="4"/>
  <c r="AE222" i="4"/>
  <c r="AD222" i="4"/>
  <c r="AE221" i="4"/>
  <c r="AH224" i="4"/>
  <c r="AD221" i="4"/>
  <c r="AC223" i="4"/>
  <c r="AC221" i="4"/>
  <c r="AC222" i="4"/>
  <c r="AD255" i="4"/>
  <c r="AE252" i="4"/>
  <c r="R11" i="4"/>
  <c r="AI11" i="4" s="1"/>
  <c r="R202" i="4"/>
  <c r="AD252" i="4"/>
  <c r="AC252" i="4"/>
  <c r="F54" i="7"/>
  <c r="E70" i="10" s="1"/>
  <c r="G42" i="7"/>
  <c r="P54" i="7"/>
  <c r="O18" i="8"/>
  <c r="AT17" i="8"/>
  <c r="AT18" i="8" s="1"/>
  <c r="S18" i="8"/>
  <c r="AR18" i="8"/>
  <c r="U25" i="8"/>
  <c r="T25" i="8"/>
  <c r="AC204" i="4"/>
  <c r="AC205" i="4"/>
  <c r="AE201" i="4"/>
  <c r="AE204" i="4"/>
  <c r="AH202" i="4"/>
  <c r="AD201" i="4"/>
  <c r="AD204" i="4"/>
  <c r="AC201" i="4"/>
  <c r="AC202" i="4"/>
  <c r="X25" i="8"/>
  <c r="AI25" i="8"/>
  <c r="AY24" i="8"/>
  <c r="AV18" i="8"/>
  <c r="AX24" i="8"/>
  <c r="F5" i="8"/>
  <c r="AD25" i="8"/>
  <c r="AH25" i="8"/>
  <c r="S25" i="8"/>
  <c r="AU24" i="8"/>
  <c r="Y25" i="8"/>
  <c r="W25" i="8"/>
  <c r="AV24" i="8"/>
  <c r="AA18" i="8"/>
  <c r="AA24" i="8"/>
  <c r="AW24" i="8" s="1"/>
  <c r="AW17" i="8"/>
  <c r="AW18" i="8" s="1"/>
  <c r="AT24" i="8"/>
  <c r="V25" i="8"/>
  <c r="AS18" i="8"/>
  <c r="AJ25" i="8"/>
  <c r="R11" i="7"/>
  <c r="Z11" i="7" s="1"/>
  <c r="Q11" i="7"/>
  <c r="Y11" i="7" s="1"/>
  <c r="P11" i="7"/>
  <c r="X11" i="7" s="1"/>
  <c r="E72" i="7" s="1"/>
  <c r="E230" i="7" s="1"/>
  <c r="E441" i="7" s="1"/>
  <c r="E476" i="7" s="1"/>
  <c r="E499" i="7" s="1"/>
  <c r="E504" i="7" s="1"/>
  <c r="O11" i="7"/>
  <c r="W11" i="7" s="1"/>
  <c r="D72" i="7" s="1"/>
  <c r="D230" i="7" s="1"/>
  <c r="D441" i="7" s="1"/>
  <c r="D476" i="7" s="1"/>
  <c r="D499" i="7" s="1"/>
  <c r="D504" i="7" s="1"/>
  <c r="M11" i="7"/>
  <c r="V11" i="7" s="1"/>
  <c r="C72" i="7" s="1"/>
  <c r="C230" i="7" s="1"/>
  <c r="C441" i="7" s="1"/>
  <c r="C476" i="7" s="1"/>
  <c r="C499" i="7" s="1"/>
  <c r="C504" i="7" s="1"/>
  <c r="L11" i="7"/>
  <c r="U11" i="7" s="1"/>
  <c r="B72" i="7" s="1"/>
  <c r="B230" i="7" s="1"/>
  <c r="B441" i="7" s="1"/>
  <c r="B476" i="7" s="1"/>
  <c r="B499" i="7" s="1"/>
  <c r="B504" i="7" s="1"/>
  <c r="S11" i="7"/>
  <c r="AB11" i="7" s="1"/>
  <c r="G36" i="7"/>
  <c r="F36" i="7"/>
  <c r="E36" i="7"/>
  <c r="D36" i="7"/>
  <c r="C36" i="7"/>
  <c r="B36" i="7"/>
  <c r="G34" i="7"/>
  <c r="F34" i="7"/>
  <c r="E34" i="7"/>
  <c r="D34" i="7"/>
  <c r="C34" i="7"/>
  <c r="B34" i="7"/>
  <c r="G33" i="7"/>
  <c r="F33" i="7"/>
  <c r="E33" i="7"/>
  <c r="D33" i="7"/>
  <c r="C33" i="7"/>
  <c r="B33" i="7"/>
  <c r="G32" i="7"/>
  <c r="F32" i="7"/>
  <c r="E32" i="7"/>
  <c r="D32" i="7"/>
  <c r="C32" i="7"/>
  <c r="B32" i="7"/>
  <c r="G31" i="7"/>
  <c r="F31" i="7"/>
  <c r="E31" i="7"/>
  <c r="D31" i="7"/>
  <c r="C31" i="7"/>
  <c r="B31" i="7"/>
  <c r="G30" i="7"/>
  <c r="F30" i="7"/>
  <c r="E30" i="7"/>
  <c r="D30" i="7"/>
  <c r="C30" i="7"/>
  <c r="B30" i="7"/>
  <c r="G29" i="7"/>
  <c r="F29" i="7"/>
  <c r="E29" i="7"/>
  <c r="D29" i="7"/>
  <c r="C29" i="7"/>
  <c r="B29" i="7"/>
  <c r="G27" i="7"/>
  <c r="F27" i="7"/>
  <c r="E27" i="7"/>
  <c r="D27" i="7"/>
  <c r="C27" i="7"/>
  <c r="B27" i="7"/>
  <c r="G25" i="7"/>
  <c r="Z25" i="7" s="1"/>
  <c r="M263" i="4" s="1"/>
  <c r="F25" i="7"/>
  <c r="Y25" i="7" s="1"/>
  <c r="L263" i="4" s="1"/>
  <c r="D25" i="7"/>
  <c r="W25" i="7" s="1"/>
  <c r="J263" i="4" s="1"/>
  <c r="C25" i="7"/>
  <c r="V25" i="7" s="1"/>
  <c r="I263" i="4" s="1"/>
  <c r="B25" i="7"/>
  <c r="G24" i="7"/>
  <c r="F24" i="7"/>
  <c r="E24" i="7"/>
  <c r="D24" i="7"/>
  <c r="C24" i="7"/>
  <c r="B24" i="7"/>
  <c r="G23" i="7"/>
  <c r="F23" i="7"/>
  <c r="E23" i="7"/>
  <c r="D23" i="7"/>
  <c r="C23" i="7"/>
  <c r="B23" i="7"/>
  <c r="G22" i="7"/>
  <c r="F22" i="7"/>
  <c r="E22" i="7"/>
  <c r="D22" i="7"/>
  <c r="C22" i="7"/>
  <c r="B22" i="7"/>
  <c r="G21" i="7"/>
  <c r="F21" i="7"/>
  <c r="E21" i="7"/>
  <c r="D21" i="7"/>
  <c r="C21" i="7"/>
  <c r="B21" i="7"/>
  <c r="G20" i="7"/>
  <c r="F20" i="7"/>
  <c r="E20" i="7"/>
  <c r="D20" i="7"/>
  <c r="C20" i="7"/>
  <c r="B20" i="7"/>
  <c r="G19" i="7"/>
  <c r="F19" i="7"/>
  <c r="E19" i="7"/>
  <c r="D19" i="7"/>
  <c r="C19" i="7"/>
  <c r="B19" i="7"/>
  <c r="G18" i="7"/>
  <c r="F18" i="7"/>
  <c r="E18" i="7"/>
  <c r="D18" i="7"/>
  <c r="C18" i="7"/>
  <c r="B18" i="7"/>
  <c r="G16" i="7"/>
  <c r="F16" i="7"/>
  <c r="D16" i="7"/>
  <c r="C16" i="7"/>
  <c r="B16" i="7"/>
  <c r="G15" i="7"/>
  <c r="F15" i="7"/>
  <c r="E15" i="7"/>
  <c r="D15" i="7"/>
  <c r="C15" i="7"/>
  <c r="B15" i="7"/>
  <c r="G14" i="7"/>
  <c r="F14" i="7"/>
  <c r="E14" i="7"/>
  <c r="D14" i="7"/>
  <c r="C14" i="7"/>
  <c r="B14" i="7"/>
  <c r="G13" i="7"/>
  <c r="F13" i="7"/>
  <c r="E13" i="7"/>
  <c r="D13" i="7"/>
  <c r="C13" i="7"/>
  <c r="B13" i="7"/>
  <c r="G12" i="7"/>
  <c r="F12" i="7"/>
  <c r="E12" i="7"/>
  <c r="D12" i="7"/>
  <c r="C12" i="7"/>
  <c r="B12" i="7"/>
  <c r="H36" i="7"/>
  <c r="H34" i="7"/>
  <c r="H33" i="7"/>
  <c r="H32" i="7"/>
  <c r="H31" i="7"/>
  <c r="H30" i="7"/>
  <c r="H29" i="7"/>
  <c r="H27" i="7"/>
  <c r="H25" i="7"/>
  <c r="AB25" i="7" s="1"/>
  <c r="N263" i="4" s="1"/>
  <c r="H24" i="7"/>
  <c r="H23" i="7"/>
  <c r="H22" i="7"/>
  <c r="H21" i="7"/>
  <c r="H20" i="7"/>
  <c r="H19" i="7"/>
  <c r="H18" i="7"/>
  <c r="H16" i="7"/>
  <c r="H15" i="7"/>
  <c r="H14" i="7"/>
  <c r="H13" i="7"/>
  <c r="H12" i="7"/>
  <c r="A37" i="7"/>
  <c r="A36" i="7"/>
  <c r="A35" i="7"/>
  <c r="A34" i="7"/>
  <c r="A33" i="7"/>
  <c r="A32" i="7"/>
  <c r="A31" i="7"/>
  <c r="A30" i="7"/>
  <c r="A27" i="7"/>
  <c r="A26" i="7"/>
  <c r="A25" i="7"/>
  <c r="A24" i="7"/>
  <c r="A23" i="7"/>
  <c r="A22" i="7"/>
  <c r="A21" i="7"/>
  <c r="A20" i="7"/>
  <c r="A18" i="7"/>
  <c r="A17" i="7"/>
  <c r="A16" i="7"/>
  <c r="A15" i="7"/>
  <c r="A14" i="7"/>
  <c r="A13" i="7"/>
  <c r="A12" i="7"/>
  <c r="C4" i="7"/>
  <c r="F31" i="1"/>
  <c r="E31" i="1"/>
  <c r="D31" i="1"/>
  <c r="C31" i="1"/>
  <c r="H30" i="1"/>
  <c r="G30" i="1"/>
  <c r="E30" i="1"/>
  <c r="D30" i="1"/>
  <c r="C30" i="1"/>
  <c r="E29" i="1"/>
  <c r="D29" i="1"/>
  <c r="C29" i="1"/>
  <c r="H28" i="1"/>
  <c r="G28" i="1"/>
  <c r="F28" i="1"/>
  <c r="E28" i="1"/>
  <c r="D28" i="1"/>
  <c r="C28" i="1"/>
  <c r="H27" i="1"/>
  <c r="G27" i="1"/>
  <c r="F27" i="1"/>
  <c r="E27" i="1"/>
  <c r="D27" i="1"/>
  <c r="C27" i="1"/>
  <c r="H26" i="1"/>
  <c r="G26" i="1"/>
  <c r="F26" i="1"/>
  <c r="E26" i="1"/>
  <c r="D26" i="1"/>
  <c r="C26" i="1"/>
  <c r="H25" i="1"/>
  <c r="G25" i="1"/>
  <c r="F25" i="1"/>
  <c r="E25" i="1"/>
  <c r="D25" i="1"/>
  <c r="C25" i="1"/>
  <c r="G22" i="1"/>
  <c r="G260" i="1" s="1"/>
  <c r="F22" i="1"/>
  <c r="F260" i="1" s="1"/>
  <c r="H21" i="1"/>
  <c r="E21" i="1"/>
  <c r="D21" i="1"/>
  <c r="C21" i="1"/>
  <c r="H20" i="1"/>
  <c r="G20" i="1"/>
  <c r="H19" i="1"/>
  <c r="G19" i="1"/>
  <c r="F19" i="1"/>
  <c r="E19" i="1"/>
  <c r="D19" i="1"/>
  <c r="C19" i="1"/>
  <c r="H18" i="1"/>
  <c r="G18" i="1"/>
  <c r="F18" i="1"/>
  <c r="E18" i="1"/>
  <c r="D18" i="1"/>
  <c r="C18" i="1"/>
  <c r="H17" i="1"/>
  <c r="G17" i="1"/>
  <c r="F17" i="1"/>
  <c r="E17" i="1"/>
  <c r="D17" i="1"/>
  <c r="C17" i="1"/>
  <c r="H16" i="1"/>
  <c r="G16" i="1"/>
  <c r="F16" i="1"/>
  <c r="E16" i="1"/>
  <c r="D16" i="1"/>
  <c r="C16" i="1"/>
  <c r="G13" i="1"/>
  <c r="G221" i="1" s="1"/>
  <c r="F13" i="1"/>
  <c r="F221" i="1" s="1"/>
  <c r="C13" i="1"/>
  <c r="H12" i="1"/>
  <c r="E12" i="1"/>
  <c r="D12" i="1"/>
  <c r="C12" i="1"/>
  <c r="H11" i="1"/>
  <c r="G11" i="1"/>
  <c r="G214" i="1" s="1"/>
  <c r="H10" i="1"/>
  <c r="G10" i="1"/>
  <c r="F10" i="1"/>
  <c r="E10" i="1"/>
  <c r="D10" i="1"/>
  <c r="C10" i="1"/>
  <c r="H9" i="1"/>
  <c r="G9" i="1"/>
  <c r="F9" i="1"/>
  <c r="E9" i="1"/>
  <c r="D9" i="1"/>
  <c r="C9" i="1"/>
  <c r="H8" i="1"/>
  <c r="G8" i="1"/>
  <c r="F8" i="1"/>
  <c r="E8" i="1"/>
  <c r="D8" i="1"/>
  <c r="C8" i="1"/>
  <c r="H7" i="1"/>
  <c r="G7" i="1"/>
  <c r="F7" i="1"/>
  <c r="E7" i="1"/>
  <c r="D7" i="1"/>
  <c r="C7" i="1"/>
  <c r="B31" i="1"/>
  <c r="B30" i="1"/>
  <c r="B29" i="1"/>
  <c r="B28" i="1"/>
  <c r="B27" i="1"/>
  <c r="B26" i="1"/>
  <c r="B25" i="1"/>
  <c r="B22" i="1"/>
  <c r="B21" i="1"/>
  <c r="B20" i="1"/>
  <c r="B35" i="1"/>
  <c r="B19" i="1"/>
  <c r="B18" i="1"/>
  <c r="B17" i="1"/>
  <c r="B16" i="1"/>
  <c r="B13" i="1"/>
  <c r="B12" i="1"/>
  <c r="B11" i="1"/>
  <c r="B10" i="1"/>
  <c r="B9" i="1"/>
  <c r="B8" i="1"/>
  <c r="B7" i="1"/>
  <c r="AE60" i="6"/>
  <c r="W60" i="6"/>
  <c r="U60" i="6"/>
  <c r="T60" i="6"/>
  <c r="S60" i="6"/>
  <c r="Q60" i="6"/>
  <c r="P60" i="6"/>
  <c r="W56" i="6"/>
  <c r="V56" i="6"/>
  <c r="U56" i="6"/>
  <c r="T56" i="6"/>
  <c r="S56" i="6"/>
  <c r="R56" i="6"/>
  <c r="Q56" i="6"/>
  <c r="P56" i="6"/>
  <c r="AD52" i="6"/>
  <c r="U52" i="6"/>
  <c r="T52" i="6"/>
  <c r="S52" i="6"/>
  <c r="AB51" i="6"/>
  <c r="AA51" i="6"/>
  <c r="N51" i="6"/>
  <c r="M51" i="6"/>
  <c r="L51" i="6"/>
  <c r="K51" i="6"/>
  <c r="J51" i="6"/>
  <c r="I51" i="6"/>
  <c r="H51" i="6"/>
  <c r="AE50" i="6"/>
  <c r="U50" i="6"/>
  <c r="T50" i="6"/>
  <c r="S50" i="6"/>
  <c r="AE49" i="6"/>
  <c r="AD49" i="6"/>
  <c r="AC49" i="6"/>
  <c r="AB49" i="6"/>
  <c r="AA49" i="6"/>
  <c r="W49" i="6"/>
  <c r="V49" i="6"/>
  <c r="U49" i="6"/>
  <c r="T49" i="6"/>
  <c r="S49" i="6"/>
  <c r="R49" i="6"/>
  <c r="Q49" i="6"/>
  <c r="P49" i="6"/>
  <c r="O49" i="6"/>
  <c r="M49" i="6"/>
  <c r="L49" i="6"/>
  <c r="I49" i="6"/>
  <c r="H49" i="6"/>
  <c r="AE47" i="6"/>
  <c r="AD47" i="6"/>
  <c r="AC47" i="6"/>
  <c r="AB47" i="6"/>
  <c r="AA47" i="6"/>
  <c r="W47" i="6"/>
  <c r="V47" i="6"/>
  <c r="U47" i="6"/>
  <c r="T47" i="6"/>
  <c r="S47" i="6"/>
  <c r="R47" i="6"/>
  <c r="Q47" i="6"/>
  <c r="P47" i="6"/>
  <c r="O47" i="6"/>
  <c r="M47" i="6"/>
  <c r="L47" i="6"/>
  <c r="I47" i="6"/>
  <c r="H47" i="6"/>
  <c r="AE46" i="6"/>
  <c r="AD46" i="6"/>
  <c r="AC46" i="6"/>
  <c r="AB46" i="6"/>
  <c r="AA46" i="6"/>
  <c r="W46" i="6"/>
  <c r="V46" i="6"/>
  <c r="U46" i="6"/>
  <c r="T46" i="6"/>
  <c r="S46" i="6"/>
  <c r="R46" i="6"/>
  <c r="Q46" i="6"/>
  <c r="P46" i="6"/>
  <c r="O46" i="6"/>
  <c r="M46" i="6"/>
  <c r="L46" i="6"/>
  <c r="I46" i="6"/>
  <c r="H46" i="6"/>
  <c r="AD43" i="6"/>
  <c r="U43" i="6"/>
  <c r="T43" i="6"/>
  <c r="S43" i="6"/>
  <c r="AB42" i="6"/>
  <c r="AA42" i="6"/>
  <c r="N42" i="6"/>
  <c r="M42" i="6"/>
  <c r="L42" i="6"/>
  <c r="K42" i="6"/>
  <c r="J42" i="6"/>
  <c r="I42" i="6"/>
  <c r="H42" i="6"/>
  <c r="AE41" i="6"/>
  <c r="U41" i="6"/>
  <c r="T41" i="6"/>
  <c r="S41" i="6"/>
  <c r="AE39" i="6"/>
  <c r="AD39" i="6"/>
  <c r="AC39" i="6"/>
  <c r="AB39" i="6"/>
  <c r="AA39" i="6"/>
  <c r="W39" i="6"/>
  <c r="V39" i="6"/>
  <c r="U39" i="6"/>
  <c r="T39" i="6"/>
  <c r="S39" i="6"/>
  <c r="R39" i="6"/>
  <c r="Q39" i="6"/>
  <c r="P39" i="6"/>
  <c r="O39" i="6"/>
  <c r="M39" i="6"/>
  <c r="L39" i="6"/>
  <c r="I39" i="6"/>
  <c r="H39" i="6"/>
  <c r="AE38" i="6"/>
  <c r="AD38" i="6"/>
  <c r="AC38" i="6"/>
  <c r="AB38" i="6"/>
  <c r="AA38" i="6"/>
  <c r="W38" i="6"/>
  <c r="V38" i="6"/>
  <c r="U38" i="6"/>
  <c r="T38" i="6"/>
  <c r="S38" i="6"/>
  <c r="R38" i="6"/>
  <c r="Q38" i="6"/>
  <c r="P38" i="6"/>
  <c r="O38" i="6"/>
  <c r="M38" i="6"/>
  <c r="L38" i="6"/>
  <c r="I38" i="6"/>
  <c r="H38" i="6"/>
  <c r="AE37" i="6"/>
  <c r="AD37" i="6"/>
  <c r="AC37" i="6"/>
  <c r="AB37" i="6"/>
  <c r="AA37" i="6"/>
  <c r="W37" i="6"/>
  <c r="V37" i="6"/>
  <c r="U37" i="6"/>
  <c r="T37" i="6"/>
  <c r="S37" i="6"/>
  <c r="R37" i="6"/>
  <c r="Q37" i="6"/>
  <c r="P37" i="6"/>
  <c r="O37" i="6"/>
  <c r="M37" i="6"/>
  <c r="L37" i="6"/>
  <c r="I37" i="6"/>
  <c r="H37" i="6"/>
  <c r="V31" i="6"/>
  <c r="O39" i="4" s="1"/>
  <c r="AE30" i="6"/>
  <c r="AD30" i="6"/>
  <c r="G29" i="1" s="1"/>
  <c r="AC30" i="6"/>
  <c r="AC31" i="6" s="1"/>
  <c r="W30" i="6"/>
  <c r="P38" i="4" s="1"/>
  <c r="S38" i="4" s="1"/>
  <c r="U30" i="6"/>
  <c r="T30" i="6"/>
  <c r="M38" i="4" s="1"/>
  <c r="S30" i="6"/>
  <c r="R30" i="6"/>
  <c r="K38" i="4" s="1"/>
  <c r="Q30" i="6"/>
  <c r="P30" i="6"/>
  <c r="O30" i="6"/>
  <c r="H38" i="4" s="1"/>
  <c r="N30" i="6"/>
  <c r="G38" i="4" s="1"/>
  <c r="G41" i="4" s="1"/>
  <c r="M30" i="6"/>
  <c r="L30" i="6"/>
  <c r="AE23" i="6"/>
  <c r="AE52" i="6" s="1"/>
  <c r="V23" i="6"/>
  <c r="N23" i="6"/>
  <c r="G30" i="4" s="1"/>
  <c r="G31" i="4" s="1"/>
  <c r="AD22" i="6"/>
  <c r="AE51" i="6" s="1"/>
  <c r="U22" i="6"/>
  <c r="N29" i="4" s="1"/>
  <c r="T22" i="6"/>
  <c r="M29" i="4" s="1"/>
  <c r="S22" i="6"/>
  <c r="Q22" i="6"/>
  <c r="P22" i="6"/>
  <c r="O22" i="6"/>
  <c r="AC21" i="6"/>
  <c r="AD50" i="6" s="1"/>
  <c r="AB21" i="6"/>
  <c r="E20" i="1" s="1"/>
  <c r="AA21" i="6"/>
  <c r="AA23" i="6" s="1"/>
  <c r="D22" i="1" s="1"/>
  <c r="Z21" i="6"/>
  <c r="Z23" i="6" s="1"/>
  <c r="C22" i="1" s="1"/>
  <c r="W21" i="6"/>
  <c r="R21" i="6"/>
  <c r="M21" i="6"/>
  <c r="M23" i="6" s="1"/>
  <c r="L21" i="6"/>
  <c r="P50" i="6" s="1"/>
  <c r="K21" i="6"/>
  <c r="I21" i="6"/>
  <c r="I23" i="6" s="1"/>
  <c r="H21" i="6"/>
  <c r="H23" i="6" s="1"/>
  <c r="E21" i="6"/>
  <c r="E23" i="6" s="1"/>
  <c r="D21" i="6"/>
  <c r="D23" i="6" s="1"/>
  <c r="G20" i="6"/>
  <c r="J20" i="6" s="1"/>
  <c r="C20" i="6"/>
  <c r="F20" i="6" s="1"/>
  <c r="G18" i="6"/>
  <c r="J18" i="6" s="1"/>
  <c r="C18" i="6"/>
  <c r="F18" i="6" s="1"/>
  <c r="G17" i="6"/>
  <c r="K46" i="6" s="1"/>
  <c r="C17" i="6"/>
  <c r="AE14" i="6"/>
  <c r="AE43" i="6" s="1"/>
  <c r="V14" i="6"/>
  <c r="O13" i="4" s="1"/>
  <c r="AD13" i="6"/>
  <c r="AE42" i="6" s="1"/>
  <c r="U13" i="6"/>
  <c r="T13" i="6"/>
  <c r="S13" i="6"/>
  <c r="Q13" i="6"/>
  <c r="P13" i="6"/>
  <c r="I12" i="4" s="1"/>
  <c r="O13" i="6"/>
  <c r="AC12" i="6"/>
  <c r="AB12" i="6"/>
  <c r="AA12" i="6"/>
  <c r="AA14" i="6" s="1"/>
  <c r="AA43" i="6" s="1"/>
  <c r="Z12" i="6"/>
  <c r="C11" i="1" s="1"/>
  <c r="W12" i="6"/>
  <c r="R12" i="6"/>
  <c r="K11" i="4" s="1"/>
  <c r="N12" i="6"/>
  <c r="G11" i="4" s="1"/>
  <c r="G201" i="4" s="1"/>
  <c r="G202" i="4" s="1"/>
  <c r="M12" i="6"/>
  <c r="M14" i="6" s="1"/>
  <c r="F13" i="4" s="1"/>
  <c r="L12" i="6"/>
  <c r="L14" i="6" s="1"/>
  <c r="K12" i="6"/>
  <c r="O41" i="6" s="1"/>
  <c r="I12" i="6"/>
  <c r="I14" i="6" s="1"/>
  <c r="H12" i="6"/>
  <c r="H14" i="6" s="1"/>
  <c r="F12" i="6"/>
  <c r="F14" i="6" s="1"/>
  <c r="E12" i="6"/>
  <c r="E14" i="6" s="1"/>
  <c r="D12" i="6"/>
  <c r="D14" i="6" s="1"/>
  <c r="G10" i="6"/>
  <c r="J10" i="6" s="1"/>
  <c r="C10" i="6"/>
  <c r="G9" i="6"/>
  <c r="K38" i="6" s="1"/>
  <c r="C9" i="6"/>
  <c r="G8" i="6"/>
  <c r="J8" i="6" s="1"/>
  <c r="C8" i="6"/>
  <c r="P111" i="4"/>
  <c r="D44" i="13" s="1"/>
  <c r="F111" i="4"/>
  <c r="E111" i="4"/>
  <c r="D111" i="4"/>
  <c r="P110" i="4"/>
  <c r="D43" i="13" s="1"/>
  <c r="F110" i="4"/>
  <c r="E110" i="4"/>
  <c r="D110" i="4"/>
  <c r="Q134" i="4"/>
  <c r="C124" i="4"/>
  <c r="Q133" i="4"/>
  <c r="C123" i="4"/>
  <c r="C122" i="4"/>
  <c r="C111" i="4"/>
  <c r="C110" i="4"/>
  <c r="C109" i="4"/>
  <c r="C107" i="4"/>
  <c r="P106" i="4"/>
  <c r="F106" i="4"/>
  <c r="E106" i="4"/>
  <c r="D106" i="4"/>
  <c r="C106" i="4"/>
  <c r="C105" i="4"/>
  <c r="P104" i="4"/>
  <c r="S104" i="4" s="1"/>
  <c r="F104" i="4"/>
  <c r="E104" i="4"/>
  <c r="D104" i="4"/>
  <c r="C104" i="4"/>
  <c r="P103" i="4"/>
  <c r="S103" i="4" s="1"/>
  <c r="F103" i="4"/>
  <c r="E103" i="4"/>
  <c r="D103" i="4"/>
  <c r="C103" i="4"/>
  <c r="P102" i="4"/>
  <c r="S102" i="4" s="1"/>
  <c r="F102" i="4"/>
  <c r="E102" i="4"/>
  <c r="D102" i="4"/>
  <c r="C102" i="4"/>
  <c r="C101" i="4"/>
  <c r="P100" i="4"/>
  <c r="S100" i="4" s="1"/>
  <c r="F100" i="4"/>
  <c r="E100" i="4"/>
  <c r="D100" i="4"/>
  <c r="C100" i="4"/>
  <c r="P99" i="4"/>
  <c r="S99" i="4" s="1"/>
  <c r="F99" i="4"/>
  <c r="E99" i="4"/>
  <c r="D99" i="4"/>
  <c r="C99" i="4"/>
  <c r="P98" i="4"/>
  <c r="S98" i="4" s="1"/>
  <c r="F98" i="4"/>
  <c r="E98" i="4"/>
  <c r="D98" i="4"/>
  <c r="C98" i="4"/>
  <c r="C80" i="4"/>
  <c r="C77" i="4"/>
  <c r="B195" i="9" s="1"/>
  <c r="P76" i="4"/>
  <c r="O194" i="9" s="1"/>
  <c r="N194" i="9"/>
  <c r="M194" i="9"/>
  <c r="K194" i="9"/>
  <c r="J194" i="9"/>
  <c r="I194" i="9"/>
  <c r="H194" i="9"/>
  <c r="G194" i="9"/>
  <c r="F194" i="9"/>
  <c r="F76" i="4"/>
  <c r="E194" i="9" s="1"/>
  <c r="E76" i="4"/>
  <c r="D194" i="9" s="1"/>
  <c r="D76" i="4"/>
  <c r="C194" i="9" s="1"/>
  <c r="C76" i="4"/>
  <c r="P75" i="4"/>
  <c r="O193" i="9" s="1"/>
  <c r="N193" i="9"/>
  <c r="M193" i="9"/>
  <c r="L193" i="9"/>
  <c r="U193" i="9" s="1"/>
  <c r="K193" i="9"/>
  <c r="J193" i="9"/>
  <c r="I193" i="9"/>
  <c r="H193" i="9"/>
  <c r="G193" i="9"/>
  <c r="F193" i="9"/>
  <c r="F75" i="4"/>
  <c r="E193" i="9" s="1"/>
  <c r="E75" i="4"/>
  <c r="D193" i="9" s="1"/>
  <c r="D75" i="4"/>
  <c r="C193" i="9" s="1"/>
  <c r="C75" i="4"/>
  <c r="P74" i="4"/>
  <c r="S74" i="4" s="1"/>
  <c r="S155" i="4" s="1"/>
  <c r="J192" i="9"/>
  <c r="I192" i="9"/>
  <c r="H192" i="9"/>
  <c r="G192" i="9"/>
  <c r="F192" i="9"/>
  <c r="F74" i="4"/>
  <c r="E192" i="9" s="1"/>
  <c r="E74" i="4"/>
  <c r="D192" i="9" s="1"/>
  <c r="D74" i="4"/>
  <c r="C192" i="9" s="1"/>
  <c r="C74" i="4"/>
  <c r="P71" i="4"/>
  <c r="O191" i="9" s="1"/>
  <c r="N191" i="9"/>
  <c r="M191" i="9"/>
  <c r="K191" i="9"/>
  <c r="J191" i="9"/>
  <c r="I191" i="9"/>
  <c r="H191" i="9"/>
  <c r="G191" i="9"/>
  <c r="F191" i="9"/>
  <c r="F71" i="4"/>
  <c r="E191" i="9" s="1"/>
  <c r="E71" i="4"/>
  <c r="D191" i="9" s="1"/>
  <c r="D71" i="4"/>
  <c r="C191" i="9" s="1"/>
  <c r="C71" i="4"/>
  <c r="P68" i="4"/>
  <c r="O190" i="9" s="1"/>
  <c r="N190" i="9"/>
  <c r="M190" i="9"/>
  <c r="K190" i="9"/>
  <c r="J190" i="9"/>
  <c r="I190" i="9"/>
  <c r="H190" i="9"/>
  <c r="G190" i="9"/>
  <c r="F190" i="9"/>
  <c r="F68" i="4"/>
  <c r="E190" i="9" s="1"/>
  <c r="E68" i="4"/>
  <c r="D190" i="9" s="1"/>
  <c r="D68" i="4"/>
  <c r="C190" i="9" s="1"/>
  <c r="C68" i="4"/>
  <c r="P65" i="4"/>
  <c r="O189" i="9" s="1"/>
  <c r="N189" i="9"/>
  <c r="M189" i="9"/>
  <c r="K189" i="9"/>
  <c r="J189" i="9"/>
  <c r="I189" i="9"/>
  <c r="H189" i="9"/>
  <c r="G189" i="9"/>
  <c r="F189" i="9"/>
  <c r="F65" i="4"/>
  <c r="E189" i="9" s="1"/>
  <c r="E65" i="4"/>
  <c r="D189" i="9" s="1"/>
  <c r="D65" i="4"/>
  <c r="C189" i="9" s="1"/>
  <c r="C65" i="4"/>
  <c r="C64" i="4"/>
  <c r="C60" i="4"/>
  <c r="C59" i="4"/>
  <c r="P58" i="4"/>
  <c r="F58" i="4"/>
  <c r="E58" i="4"/>
  <c r="D58" i="4"/>
  <c r="C58" i="4"/>
  <c r="P57" i="4"/>
  <c r="P276" i="4" s="1"/>
  <c r="F57" i="4"/>
  <c r="F276" i="4" s="1"/>
  <c r="F277" i="4" s="1"/>
  <c r="E57" i="4"/>
  <c r="E276" i="4" s="1"/>
  <c r="E277" i="4" s="1"/>
  <c r="D57" i="4"/>
  <c r="D276" i="4" s="1"/>
  <c r="D277" i="4" s="1"/>
  <c r="C57" i="4"/>
  <c r="C276" i="4" s="1"/>
  <c r="P56" i="4"/>
  <c r="F56" i="4"/>
  <c r="E56" i="4"/>
  <c r="D56" i="4"/>
  <c r="C56" i="4"/>
  <c r="P55" i="4"/>
  <c r="F55" i="4"/>
  <c r="E55" i="4"/>
  <c r="D55" i="4"/>
  <c r="C55" i="4"/>
  <c r="P54" i="4"/>
  <c r="F54" i="4"/>
  <c r="E54" i="4"/>
  <c r="D54" i="4"/>
  <c r="C54" i="4"/>
  <c r="P53" i="4"/>
  <c r="F53" i="4"/>
  <c r="E53" i="4"/>
  <c r="D53" i="4"/>
  <c r="C53" i="4"/>
  <c r="C52" i="4"/>
  <c r="C50" i="4"/>
  <c r="P49" i="4"/>
  <c r="F49" i="4"/>
  <c r="E49" i="4"/>
  <c r="D49" i="4"/>
  <c r="P48" i="4"/>
  <c r="F48" i="4"/>
  <c r="E48" i="4"/>
  <c r="D48" i="4"/>
  <c r="P47" i="4"/>
  <c r="F47" i="4"/>
  <c r="E47" i="4"/>
  <c r="D47" i="4"/>
  <c r="P46" i="4"/>
  <c r="F46" i="4"/>
  <c r="E46" i="4"/>
  <c r="D46" i="4"/>
  <c r="P45" i="4"/>
  <c r="F45" i="4"/>
  <c r="E45" i="4"/>
  <c r="D45" i="4"/>
  <c r="B141" i="1"/>
  <c r="B138" i="1"/>
  <c r="B137" i="1"/>
  <c r="B118" i="1"/>
  <c r="B117" i="1"/>
  <c r="B116" i="1"/>
  <c r="B112" i="1"/>
  <c r="B111" i="1"/>
  <c r="B110" i="1"/>
  <c r="B109" i="1"/>
  <c r="B108" i="1"/>
  <c r="B107" i="1"/>
  <c r="B106" i="1"/>
  <c r="B105" i="1"/>
  <c r="B74" i="1"/>
  <c r="B71" i="1"/>
  <c r="B70" i="1"/>
  <c r="B69" i="1"/>
  <c r="B68" i="1"/>
  <c r="B65" i="1"/>
  <c r="B62" i="1"/>
  <c r="B59" i="1"/>
  <c r="B58" i="1"/>
  <c r="B54" i="1"/>
  <c r="B53" i="1"/>
  <c r="B52" i="1"/>
  <c r="B51" i="1"/>
  <c r="B50" i="1"/>
  <c r="B49" i="1"/>
  <c r="B48" i="1"/>
  <c r="B44" i="1"/>
  <c r="B41" i="1"/>
  <c r="B40" i="1"/>
  <c r="B39" i="1"/>
  <c r="B38" i="1"/>
  <c r="B37" i="1"/>
  <c r="B36" i="1"/>
  <c r="AM57" i="3"/>
  <c r="AL57" i="3"/>
  <c r="AK57" i="3"/>
  <c r="AJ57" i="3"/>
  <c r="AI57" i="3"/>
  <c r="AH57" i="3"/>
  <c r="AG57" i="3"/>
  <c r="AF57" i="3"/>
  <c r="AE57" i="3"/>
  <c r="AD57" i="3"/>
  <c r="AC57" i="3"/>
  <c r="AB57" i="3"/>
  <c r="AA57" i="3"/>
  <c r="Z57" i="3"/>
  <c r="Y57" i="3"/>
  <c r="X57" i="3"/>
  <c r="W57" i="3"/>
  <c r="V57" i="3"/>
  <c r="U57" i="3"/>
  <c r="T57" i="3"/>
  <c r="S57" i="3"/>
  <c r="R57" i="3"/>
  <c r="Q57" i="3"/>
  <c r="P57" i="3"/>
  <c r="O57" i="3"/>
  <c r="N57" i="3"/>
  <c r="M57" i="3"/>
  <c r="L57" i="3"/>
  <c r="K57" i="3"/>
  <c r="J57" i="3"/>
  <c r="I57" i="3"/>
  <c r="H57" i="3"/>
  <c r="G57" i="3"/>
  <c r="AM56" i="3"/>
  <c r="AL56" i="3"/>
  <c r="AK56" i="3"/>
  <c r="AJ56" i="3"/>
  <c r="AI56" i="3"/>
  <c r="AH56" i="3"/>
  <c r="AG56" i="3"/>
  <c r="AF56" i="3"/>
  <c r="AE56" i="3"/>
  <c r="AD56" i="3"/>
  <c r="AC56" i="3"/>
  <c r="AB56" i="3"/>
  <c r="AA56" i="3"/>
  <c r="Z56" i="3"/>
  <c r="Y56" i="3"/>
  <c r="X56" i="3"/>
  <c r="W56" i="3"/>
  <c r="V56" i="3"/>
  <c r="U56" i="3"/>
  <c r="T56" i="3"/>
  <c r="S56" i="3"/>
  <c r="R56" i="3"/>
  <c r="Q56" i="3"/>
  <c r="P56" i="3"/>
  <c r="O56" i="3"/>
  <c r="N56" i="3"/>
  <c r="M56" i="3"/>
  <c r="L56" i="3"/>
  <c r="K56" i="3"/>
  <c r="J56" i="3"/>
  <c r="I56" i="3"/>
  <c r="H56" i="3"/>
  <c r="G56" i="3"/>
  <c r="AM55" i="3"/>
  <c r="AL55" i="3"/>
  <c r="AK55" i="3"/>
  <c r="AJ55" i="3"/>
  <c r="AI55" i="3"/>
  <c r="AH55" i="3"/>
  <c r="AG55" i="3"/>
  <c r="AF55" i="3"/>
  <c r="AE55" i="3"/>
  <c r="AD55" i="3"/>
  <c r="AC55" i="3"/>
  <c r="AB55" i="3"/>
  <c r="AA55" i="3"/>
  <c r="Z55" i="3"/>
  <c r="Y55" i="3"/>
  <c r="X55" i="3"/>
  <c r="W55" i="3"/>
  <c r="V55" i="3"/>
  <c r="U55" i="3"/>
  <c r="T55" i="3"/>
  <c r="S55" i="3"/>
  <c r="R55" i="3"/>
  <c r="Q55" i="3"/>
  <c r="P55" i="3"/>
  <c r="O55" i="3"/>
  <c r="N55" i="3"/>
  <c r="M55" i="3"/>
  <c r="L55" i="3"/>
  <c r="K55" i="3"/>
  <c r="J55" i="3"/>
  <c r="I55" i="3"/>
  <c r="H55" i="3"/>
  <c r="G55" i="3"/>
  <c r="AX52" i="3"/>
  <c r="AL52" i="3"/>
  <c r="AX51" i="3"/>
  <c r="AL51" i="3"/>
  <c r="AW43" i="3"/>
  <c r="G112" i="1" s="1"/>
  <c r="AV43" i="3"/>
  <c r="F112" i="1" s="1"/>
  <c r="AW39" i="3"/>
  <c r="G108" i="1" s="1"/>
  <c r="AV39" i="3"/>
  <c r="F108" i="1" s="1"/>
  <c r="AU39" i="3"/>
  <c r="E108" i="1" s="1"/>
  <c r="AT39" i="3"/>
  <c r="D108" i="1" s="1"/>
  <c r="AS39" i="3"/>
  <c r="C108" i="1" s="1"/>
  <c r="AR39" i="3"/>
  <c r="AQ39" i="3"/>
  <c r="AP39" i="3"/>
  <c r="Y38" i="3"/>
  <c r="Y42" i="3" s="1"/>
  <c r="Y44" i="3" s="1"/>
  <c r="X38" i="3"/>
  <c r="X42" i="3" s="1"/>
  <c r="X44" i="3" s="1"/>
  <c r="AW37" i="3"/>
  <c r="G106" i="1" s="1"/>
  <c r="AV37" i="3"/>
  <c r="F106" i="1" s="1"/>
  <c r="AU37" i="3"/>
  <c r="E106" i="1" s="1"/>
  <c r="AT37" i="3"/>
  <c r="D106" i="1" s="1"/>
  <c r="AS37" i="3"/>
  <c r="C106" i="1" s="1"/>
  <c r="AR37" i="3"/>
  <c r="AQ37" i="3"/>
  <c r="AP37" i="3"/>
  <c r="AW36" i="3"/>
  <c r="G105" i="1" s="1"/>
  <c r="AV36" i="3"/>
  <c r="F105" i="1" s="1"/>
  <c r="AU36" i="3"/>
  <c r="E105" i="1" s="1"/>
  <c r="AT36" i="3"/>
  <c r="D105" i="1" s="1"/>
  <c r="AS36" i="3"/>
  <c r="C105" i="1" s="1"/>
  <c r="AR36" i="3"/>
  <c r="AQ36" i="3"/>
  <c r="AP36" i="3"/>
  <c r="AM33" i="3"/>
  <c r="P77" i="4" s="1"/>
  <c r="O195" i="9" s="1"/>
  <c r="AL33" i="3"/>
  <c r="AK33" i="3"/>
  <c r="AJ33" i="3"/>
  <c r="M77" i="4" s="1"/>
  <c r="AI33" i="3"/>
  <c r="AH33" i="3"/>
  <c r="AG33" i="3"/>
  <c r="AF33" i="3"/>
  <c r="AE33" i="3"/>
  <c r="H77" i="4" s="1"/>
  <c r="AD33" i="3"/>
  <c r="AC33" i="3"/>
  <c r="F77" i="4" s="1"/>
  <c r="E195" i="9" s="1"/>
  <c r="AB33" i="3"/>
  <c r="E77" i="4" s="1"/>
  <c r="D195" i="9" s="1"/>
  <c r="AA33" i="3"/>
  <c r="D77" i="4" s="1"/>
  <c r="C195" i="9" s="1"/>
  <c r="Z33" i="3"/>
  <c r="Y33" i="3"/>
  <c r="X33" i="3"/>
  <c r="W33" i="3"/>
  <c r="V33" i="3"/>
  <c r="U33" i="3"/>
  <c r="T33" i="3"/>
  <c r="S33" i="3"/>
  <c r="R33" i="3"/>
  <c r="Q33" i="3"/>
  <c r="P33" i="3"/>
  <c r="O33" i="3"/>
  <c r="N33" i="3"/>
  <c r="M33" i="3"/>
  <c r="L33" i="3"/>
  <c r="K33" i="3"/>
  <c r="J33" i="3"/>
  <c r="I33" i="3"/>
  <c r="H33" i="3"/>
  <c r="G33" i="3"/>
  <c r="F33" i="3"/>
  <c r="E33" i="3"/>
  <c r="D33" i="3"/>
  <c r="C33" i="3"/>
  <c r="AW32" i="3"/>
  <c r="G70" i="1" s="1"/>
  <c r="AV32" i="3"/>
  <c r="F70" i="1" s="1"/>
  <c r="AU32" i="3"/>
  <c r="E70" i="1" s="1"/>
  <c r="AT32" i="3"/>
  <c r="D70" i="1" s="1"/>
  <c r="AS32" i="3"/>
  <c r="C70" i="1" s="1"/>
  <c r="AR32" i="3"/>
  <c r="AQ32" i="3"/>
  <c r="AP32" i="3"/>
  <c r="AW31" i="3"/>
  <c r="G69" i="1" s="1"/>
  <c r="AV31" i="3"/>
  <c r="F69" i="1" s="1"/>
  <c r="AW30" i="3"/>
  <c r="G68" i="1" s="1"/>
  <c r="AV30" i="3"/>
  <c r="F68" i="1" s="1"/>
  <c r="AU30" i="3"/>
  <c r="E68" i="1" s="1"/>
  <c r="AT30" i="3"/>
  <c r="D68" i="1" s="1"/>
  <c r="AS30" i="3"/>
  <c r="C68" i="1" s="1"/>
  <c r="AR30" i="3"/>
  <c r="AQ30" i="3"/>
  <c r="AP30" i="3"/>
  <c r="AW29" i="3"/>
  <c r="G65" i="1" s="1"/>
  <c r="AV29" i="3"/>
  <c r="F65" i="1" s="1"/>
  <c r="AU29" i="3"/>
  <c r="E65" i="1" s="1"/>
  <c r="AT29" i="3"/>
  <c r="D65" i="1" s="1"/>
  <c r="AS29" i="3"/>
  <c r="C65" i="1" s="1"/>
  <c r="AR29" i="3"/>
  <c r="AQ29" i="3"/>
  <c r="AP29" i="3"/>
  <c r="AW28" i="3"/>
  <c r="G62" i="1" s="1"/>
  <c r="AV28" i="3"/>
  <c r="F62" i="1" s="1"/>
  <c r="AU28" i="3"/>
  <c r="E62" i="1" s="1"/>
  <c r="AT28" i="3"/>
  <c r="D62" i="1" s="1"/>
  <c r="AS28" i="3"/>
  <c r="C62" i="1" s="1"/>
  <c r="AR28" i="3"/>
  <c r="AQ28" i="3"/>
  <c r="AP28" i="3"/>
  <c r="AW27" i="3"/>
  <c r="G59" i="1" s="1"/>
  <c r="AV27" i="3"/>
  <c r="AU27" i="3"/>
  <c r="E59" i="1" s="1"/>
  <c r="AT27" i="3"/>
  <c r="D59" i="1" s="1"/>
  <c r="AS27" i="3"/>
  <c r="C59" i="1" s="1"/>
  <c r="AR27" i="3"/>
  <c r="AQ27" i="3"/>
  <c r="AP27" i="3"/>
  <c r="AM23" i="3"/>
  <c r="P59" i="4" s="1"/>
  <c r="AL23" i="3"/>
  <c r="AK23" i="3"/>
  <c r="N59" i="4" s="1"/>
  <c r="AJ23" i="3"/>
  <c r="M59" i="4" s="1"/>
  <c r="AI23" i="3"/>
  <c r="L59" i="4" s="1"/>
  <c r="AH23" i="3"/>
  <c r="K59" i="4" s="1"/>
  <c r="AG23" i="3"/>
  <c r="J59" i="4" s="1"/>
  <c r="AF23" i="3"/>
  <c r="I59" i="4" s="1"/>
  <c r="AE23" i="3"/>
  <c r="H59" i="4" s="1"/>
  <c r="AD23" i="3"/>
  <c r="G59" i="4" s="1"/>
  <c r="AC23" i="3"/>
  <c r="F59" i="4" s="1"/>
  <c r="AB23" i="3"/>
  <c r="E59" i="4" s="1"/>
  <c r="AA23" i="3"/>
  <c r="D59" i="4" s="1"/>
  <c r="Z23" i="3"/>
  <c r="Y23" i="3"/>
  <c r="X23" i="3"/>
  <c r="W23" i="3"/>
  <c r="V23" i="3"/>
  <c r="U23" i="3"/>
  <c r="T23" i="3"/>
  <c r="S23" i="3"/>
  <c r="R23" i="3"/>
  <c r="Q23" i="3"/>
  <c r="P23" i="3"/>
  <c r="O23" i="3"/>
  <c r="N23" i="3"/>
  <c r="M23" i="3"/>
  <c r="L23" i="3"/>
  <c r="K23" i="3"/>
  <c r="J23" i="3"/>
  <c r="I23" i="3"/>
  <c r="H23" i="3"/>
  <c r="G23" i="3"/>
  <c r="F23" i="3"/>
  <c r="E23" i="3"/>
  <c r="D23" i="3"/>
  <c r="C23" i="3"/>
  <c r="AW22" i="3"/>
  <c r="G52" i="1" s="1"/>
  <c r="AU22" i="3"/>
  <c r="E52" i="1" s="1"/>
  <c r="AT22" i="3"/>
  <c r="D52" i="1" s="1"/>
  <c r="AS22" i="3"/>
  <c r="C52" i="1" s="1"/>
  <c r="AR22" i="3"/>
  <c r="AQ22" i="3"/>
  <c r="AP22" i="3"/>
  <c r="AW21" i="3"/>
  <c r="G51" i="1" s="1"/>
  <c r="G281" i="1" s="1"/>
  <c r="AV21" i="3"/>
  <c r="F51" i="1" s="1"/>
  <c r="AU21" i="3"/>
  <c r="E51" i="1" s="1"/>
  <c r="AT21" i="3"/>
  <c r="D51" i="1" s="1"/>
  <c r="AS21" i="3"/>
  <c r="C51" i="1" s="1"/>
  <c r="AW20" i="3"/>
  <c r="G50" i="1" s="1"/>
  <c r="AV20" i="3"/>
  <c r="F50" i="1" s="1"/>
  <c r="AU20" i="3"/>
  <c r="E50" i="1" s="1"/>
  <c r="AT20" i="3"/>
  <c r="D50" i="1" s="1"/>
  <c r="AS20" i="3"/>
  <c r="C50" i="1" s="1"/>
  <c r="AR20" i="3"/>
  <c r="AQ20" i="3"/>
  <c r="AP20" i="3"/>
  <c r="AW19" i="3"/>
  <c r="G49" i="1" s="1"/>
  <c r="AV19" i="3"/>
  <c r="F49" i="1" s="1"/>
  <c r="AU19" i="3"/>
  <c r="E49" i="1" s="1"/>
  <c r="AT19" i="3"/>
  <c r="D49" i="1" s="1"/>
  <c r="AS19" i="3"/>
  <c r="C49" i="1" s="1"/>
  <c r="AR19" i="3"/>
  <c r="AQ19" i="3"/>
  <c r="AP19" i="3"/>
  <c r="AQ18" i="3"/>
  <c r="AP18" i="3"/>
  <c r="AW17" i="3"/>
  <c r="G45" i="1" s="1"/>
  <c r="AV17" i="3"/>
  <c r="AU17" i="3"/>
  <c r="E45" i="1" s="1"/>
  <c r="AT17" i="3"/>
  <c r="D45" i="1" s="1"/>
  <c r="AS17" i="3"/>
  <c r="C45" i="1" s="1"/>
  <c r="AR17" i="3"/>
  <c r="AQ17" i="3"/>
  <c r="AP17" i="3"/>
  <c r="AM14" i="3"/>
  <c r="AK14" i="3"/>
  <c r="N50" i="4" s="1"/>
  <c r="AJ14" i="3"/>
  <c r="M50" i="4" s="1"/>
  <c r="AI14" i="3"/>
  <c r="L50" i="4" s="1"/>
  <c r="AH14" i="3"/>
  <c r="K50" i="4" s="1"/>
  <c r="AG14" i="3"/>
  <c r="J50" i="4" s="1"/>
  <c r="AF14" i="3"/>
  <c r="I50" i="4" s="1"/>
  <c r="AE14" i="3"/>
  <c r="H50" i="4" s="1"/>
  <c r="AD14" i="3"/>
  <c r="G50" i="4" s="1"/>
  <c r="AC14" i="3"/>
  <c r="F50" i="4" s="1"/>
  <c r="AB14" i="3"/>
  <c r="AA14" i="3"/>
  <c r="Z14" i="3"/>
  <c r="Y14" i="3"/>
  <c r="X14" i="3"/>
  <c r="W14" i="3"/>
  <c r="V14" i="3"/>
  <c r="U14" i="3"/>
  <c r="T14" i="3"/>
  <c r="S14" i="3"/>
  <c r="R14" i="3"/>
  <c r="Q14" i="3"/>
  <c r="P14" i="3"/>
  <c r="O14" i="3"/>
  <c r="N14" i="3"/>
  <c r="M14" i="3"/>
  <c r="L14" i="3"/>
  <c r="K14" i="3"/>
  <c r="J14" i="3"/>
  <c r="I14" i="3"/>
  <c r="H14" i="3"/>
  <c r="G14" i="3"/>
  <c r="F14" i="3"/>
  <c r="E14" i="3"/>
  <c r="D14" i="3"/>
  <c r="C14" i="3"/>
  <c r="AW13" i="3"/>
  <c r="G40" i="1" s="1"/>
  <c r="G275" i="1" s="1"/>
  <c r="AV13" i="3"/>
  <c r="F40" i="1" s="1"/>
  <c r="AU13" i="3"/>
  <c r="E40" i="1" s="1"/>
  <c r="AT13" i="3"/>
  <c r="D40" i="1" s="1"/>
  <c r="AS13" i="3"/>
  <c r="C40" i="1" s="1"/>
  <c r="AW12" i="3"/>
  <c r="AV12" i="3"/>
  <c r="AU12" i="3"/>
  <c r="AT12" i="3"/>
  <c r="AS12" i="3"/>
  <c r="AR12" i="3"/>
  <c r="AQ12" i="3"/>
  <c r="AP12" i="3"/>
  <c r="AW11" i="3"/>
  <c r="AV11" i="3"/>
  <c r="AU11" i="3"/>
  <c r="AT11" i="3"/>
  <c r="AS11" i="3"/>
  <c r="AR11" i="3"/>
  <c r="AQ11" i="3"/>
  <c r="AP11" i="3"/>
  <c r="AQ10" i="3"/>
  <c r="AP10" i="3"/>
  <c r="AW9" i="3"/>
  <c r="AV9" i="3"/>
  <c r="AU9" i="3"/>
  <c r="AT9" i="3"/>
  <c r="AS9" i="3"/>
  <c r="AR9" i="3"/>
  <c r="AQ9" i="3"/>
  <c r="AP9" i="3"/>
  <c r="AL7" i="3"/>
  <c r="AX7" i="3" s="1"/>
  <c r="AD5" i="3"/>
  <c r="D5" i="3"/>
  <c r="D2" i="1"/>
  <c r="AM134" i="2"/>
  <c r="P90" i="4" s="1"/>
  <c r="S90" i="4" s="1"/>
  <c r="AL134" i="2"/>
  <c r="O90" i="4" s="1"/>
  <c r="AK134" i="2"/>
  <c r="N90" i="4" s="1"/>
  <c r="AJ134" i="2"/>
  <c r="M90" i="4" s="1"/>
  <c r="AI134" i="2"/>
  <c r="L90" i="4" s="1"/>
  <c r="AH134" i="2"/>
  <c r="K90" i="4" s="1"/>
  <c r="AG134" i="2"/>
  <c r="J90" i="4" s="1"/>
  <c r="AF134" i="2"/>
  <c r="I90" i="4" s="1"/>
  <c r="AE134" i="2"/>
  <c r="H90" i="4" s="1"/>
  <c r="AW133" i="2"/>
  <c r="G83" i="1" s="1"/>
  <c r="AM133" i="2"/>
  <c r="P89" i="4" s="1"/>
  <c r="S89" i="4" s="1"/>
  <c r="AL133" i="2"/>
  <c r="O89" i="4" s="1"/>
  <c r="AK133" i="2"/>
  <c r="N89" i="4" s="1"/>
  <c r="AJ133" i="2"/>
  <c r="M89" i="4" s="1"/>
  <c r="AI133" i="2"/>
  <c r="L89" i="4" s="1"/>
  <c r="AH133" i="2"/>
  <c r="K89" i="4" s="1"/>
  <c r="AG133" i="2"/>
  <c r="J89" i="4" s="1"/>
  <c r="AF133" i="2"/>
  <c r="I89" i="4" s="1"/>
  <c r="AE133" i="2"/>
  <c r="H89" i="4" s="1"/>
  <c r="AM132" i="2"/>
  <c r="P88" i="4" s="1"/>
  <c r="AL132" i="2"/>
  <c r="O88" i="4" s="1"/>
  <c r="O156" i="4" s="1"/>
  <c r="AL130" i="2"/>
  <c r="O86" i="4" s="1"/>
  <c r="AM129" i="2"/>
  <c r="P85" i="4" s="1"/>
  <c r="S85" i="4" s="1"/>
  <c r="AL129" i="2"/>
  <c r="O85" i="4" s="1"/>
  <c r="AK129" i="2"/>
  <c r="N85" i="4" s="1"/>
  <c r="AJ129" i="2"/>
  <c r="M85" i="4" s="1"/>
  <c r="AI129" i="2"/>
  <c r="L85" i="4" s="1"/>
  <c r="AH129" i="2"/>
  <c r="K85" i="4" s="1"/>
  <c r="AG129" i="2"/>
  <c r="J85" i="4" s="1"/>
  <c r="AF129" i="2"/>
  <c r="I85" i="4" s="1"/>
  <c r="AE129" i="2"/>
  <c r="H85" i="4" s="1"/>
  <c r="AM128" i="2"/>
  <c r="P84" i="4" s="1"/>
  <c r="S84" i="4" s="1"/>
  <c r="AL128" i="2"/>
  <c r="O84" i="4" s="1"/>
  <c r="AK128" i="2"/>
  <c r="N84" i="4" s="1"/>
  <c r="AJ128" i="2"/>
  <c r="M84" i="4" s="1"/>
  <c r="AI128" i="2"/>
  <c r="L84" i="4" s="1"/>
  <c r="AH128" i="2"/>
  <c r="K84" i="4" s="1"/>
  <c r="AG128" i="2"/>
  <c r="J84" i="4" s="1"/>
  <c r="AF128" i="2"/>
  <c r="I84" i="4" s="1"/>
  <c r="AE128" i="2"/>
  <c r="H84" i="4" s="1"/>
  <c r="AX127" i="2"/>
  <c r="AW127" i="2"/>
  <c r="AM127" i="2"/>
  <c r="AL127" i="2"/>
  <c r="AK127" i="2"/>
  <c r="AJ127" i="2"/>
  <c r="AI127" i="2"/>
  <c r="AH127" i="2"/>
  <c r="AG127" i="2"/>
  <c r="AF127" i="2"/>
  <c r="AE127" i="2"/>
  <c r="AX124" i="2"/>
  <c r="H141" i="1" s="1"/>
  <c r="AL124" i="2"/>
  <c r="O124" i="4" s="1"/>
  <c r="O134" i="4" s="1"/>
  <c r="AX123" i="2"/>
  <c r="H138" i="1" s="1"/>
  <c r="AL123" i="2"/>
  <c r="O123" i="4" s="1"/>
  <c r="O133" i="4" s="1"/>
  <c r="AX115" i="2"/>
  <c r="AW115" i="2"/>
  <c r="AV115" i="2"/>
  <c r="AT115" i="2"/>
  <c r="AS115" i="2"/>
  <c r="AE114" i="2"/>
  <c r="AD114" i="2"/>
  <c r="AD116" i="2" s="1"/>
  <c r="AX113" i="2"/>
  <c r="H126" i="1" s="1"/>
  <c r="AW113" i="2"/>
  <c r="G126" i="1" s="1"/>
  <c r="AW112" i="2"/>
  <c r="AV112" i="2"/>
  <c r="AU112" i="2"/>
  <c r="AT112" i="2"/>
  <c r="AS112" i="2"/>
  <c r="AM112" i="2"/>
  <c r="AX111" i="2"/>
  <c r="AT111" i="2"/>
  <c r="AX110" i="2"/>
  <c r="AX108" i="2"/>
  <c r="AX107" i="2"/>
  <c r="AX106" i="2"/>
  <c r="AW106" i="2"/>
  <c r="AV106" i="2"/>
  <c r="AU106" i="2"/>
  <c r="AT106" i="2"/>
  <c r="AS106" i="2"/>
  <c r="AR106" i="2"/>
  <c r="AQ106" i="2"/>
  <c r="AX105" i="2"/>
  <c r="AW105" i="2"/>
  <c r="AV105" i="2"/>
  <c r="AX104" i="2"/>
  <c r="AW104" i="2"/>
  <c r="AV104" i="2"/>
  <c r="AU104" i="2"/>
  <c r="AS104" i="2"/>
  <c r="AX103" i="2"/>
  <c r="H124" i="1" s="1"/>
  <c r="H165" i="1" s="1"/>
  <c r="AX102" i="2"/>
  <c r="AW102" i="2"/>
  <c r="AV102" i="2"/>
  <c r="AU102" i="2"/>
  <c r="AT102" i="2"/>
  <c r="AS102" i="2"/>
  <c r="AX101" i="2"/>
  <c r="AW101" i="2"/>
  <c r="AV101" i="2"/>
  <c r="AU101" i="2"/>
  <c r="AT101" i="2"/>
  <c r="AS101" i="2"/>
  <c r="AR101" i="2"/>
  <c r="AX100" i="2"/>
  <c r="AQ100" i="2"/>
  <c r="AX99" i="2"/>
  <c r="H123" i="1" s="1"/>
  <c r="AW99" i="2"/>
  <c r="G123" i="1" s="1"/>
  <c r="G98" i="1" s="1"/>
  <c r="AV99" i="2"/>
  <c r="F123" i="1" s="1"/>
  <c r="AU99" i="2"/>
  <c r="AT99" i="2"/>
  <c r="AS99" i="2"/>
  <c r="AR99" i="2"/>
  <c r="AQ99" i="2"/>
  <c r="AM99" i="2"/>
  <c r="P116" i="4" s="1"/>
  <c r="P142" i="4" s="1"/>
  <c r="AX98" i="2"/>
  <c r="H122" i="1" s="1"/>
  <c r="AW98" i="2"/>
  <c r="G122" i="1" s="1"/>
  <c r="AV98" i="2"/>
  <c r="F122" i="1" s="1"/>
  <c r="AU98" i="2"/>
  <c r="AT98" i="2"/>
  <c r="AS98" i="2"/>
  <c r="AX97" i="2"/>
  <c r="H121" i="1" s="1"/>
  <c r="H99" i="1" s="1"/>
  <c r="H163" i="1" s="1"/>
  <c r="AW97" i="2"/>
  <c r="G121" i="1" s="1"/>
  <c r="G99" i="1" s="1"/>
  <c r="G163" i="1" s="1"/>
  <c r="AV97" i="2"/>
  <c r="F121" i="1" s="1"/>
  <c r="AU97" i="2"/>
  <c r="AT97" i="2"/>
  <c r="AS97" i="2"/>
  <c r="AR97" i="2"/>
  <c r="AQ97" i="2"/>
  <c r="AM97" i="2"/>
  <c r="P114" i="4" s="1"/>
  <c r="P143" i="4" s="1"/>
  <c r="P152" i="4" s="1"/>
  <c r="AQ96" i="2"/>
  <c r="AQ95" i="2"/>
  <c r="AM94" i="2"/>
  <c r="AL94" i="2"/>
  <c r="AK94" i="2"/>
  <c r="AK114" i="2" s="1"/>
  <c r="N120" i="4" s="1"/>
  <c r="AJ94" i="2"/>
  <c r="AJ114" i="2" s="1"/>
  <c r="M120" i="4" s="1"/>
  <c r="AI94" i="2"/>
  <c r="AI114" i="2" s="1"/>
  <c r="L120" i="4" s="1"/>
  <c r="AH94" i="2"/>
  <c r="AH114" i="2" s="1"/>
  <c r="AH116" i="2" s="1"/>
  <c r="AG94" i="2"/>
  <c r="AG114" i="2" s="1"/>
  <c r="AG116" i="2" s="1"/>
  <c r="AF94" i="2"/>
  <c r="AF114" i="2" s="1"/>
  <c r="AF116" i="2" s="1"/>
  <c r="AC94" i="2"/>
  <c r="AC114" i="2" s="1"/>
  <c r="AC116" i="2" s="1"/>
  <c r="AB94" i="2"/>
  <c r="AB114" i="2" s="1"/>
  <c r="AB116" i="2" s="1"/>
  <c r="AA94" i="2"/>
  <c r="AA114" i="2" s="1"/>
  <c r="Z94" i="2"/>
  <c r="Z114" i="2" s="1"/>
  <c r="Z116" i="2" s="1"/>
  <c r="Y94" i="2"/>
  <c r="Y114" i="2" s="1"/>
  <c r="Y116" i="2" s="1"/>
  <c r="X94" i="2"/>
  <c r="X114" i="2" s="1"/>
  <c r="X116" i="2" s="1"/>
  <c r="W94" i="2"/>
  <c r="W114" i="2" s="1"/>
  <c r="V94" i="2"/>
  <c r="V114" i="2" s="1"/>
  <c r="V116" i="2" s="1"/>
  <c r="U94" i="2"/>
  <c r="U114" i="2" s="1"/>
  <c r="U116" i="2" s="1"/>
  <c r="T94" i="2"/>
  <c r="S94" i="2"/>
  <c r="S114" i="2" s="1"/>
  <c r="R94" i="2"/>
  <c r="R114" i="2" s="1"/>
  <c r="R116" i="2" s="1"/>
  <c r="Q94" i="2"/>
  <c r="P94" i="2"/>
  <c r="P114" i="2" s="1"/>
  <c r="P116" i="2" s="1"/>
  <c r="O94" i="2"/>
  <c r="O114" i="2" s="1"/>
  <c r="O116" i="2" s="1"/>
  <c r="N94" i="2"/>
  <c r="N114" i="2" s="1"/>
  <c r="N116" i="2" s="1"/>
  <c r="M94" i="2"/>
  <c r="M114" i="2" s="1"/>
  <c r="M116" i="2" s="1"/>
  <c r="L94" i="2"/>
  <c r="K94" i="2"/>
  <c r="K114" i="2" s="1"/>
  <c r="J94" i="2"/>
  <c r="J114" i="2" s="1"/>
  <c r="I94" i="2"/>
  <c r="I114" i="2" s="1"/>
  <c r="I116" i="2" s="1"/>
  <c r="H94" i="2"/>
  <c r="H114" i="2" s="1"/>
  <c r="H116" i="2" s="1"/>
  <c r="G94" i="2"/>
  <c r="G114" i="2" s="1"/>
  <c r="F94" i="2"/>
  <c r="F114" i="2" s="1"/>
  <c r="F116" i="2" s="1"/>
  <c r="E94" i="2"/>
  <c r="E114" i="2" s="1"/>
  <c r="E116" i="2" s="1"/>
  <c r="D94" i="2"/>
  <c r="D114" i="2" s="1"/>
  <c r="D116" i="2" s="1"/>
  <c r="C94" i="2"/>
  <c r="C114" i="2" s="1"/>
  <c r="C116" i="2" s="1"/>
  <c r="AM93" i="2"/>
  <c r="AL93" i="2"/>
  <c r="AK93" i="2"/>
  <c r="AJ93" i="2"/>
  <c r="AI93" i="2"/>
  <c r="AH93" i="2"/>
  <c r="AG93" i="2"/>
  <c r="AF93" i="2"/>
  <c r="AE93" i="2"/>
  <c r="AC93" i="2"/>
  <c r="AB93" i="2"/>
  <c r="AA93" i="2"/>
  <c r="Z93" i="2"/>
  <c r="Y93" i="2"/>
  <c r="X93" i="2"/>
  <c r="W93" i="2"/>
  <c r="V93" i="2"/>
  <c r="U93" i="2"/>
  <c r="T93" i="2"/>
  <c r="S93" i="2"/>
  <c r="R93" i="2"/>
  <c r="Q93" i="2"/>
  <c r="P93" i="2"/>
  <c r="O93" i="2"/>
  <c r="N93" i="2"/>
  <c r="M93" i="2"/>
  <c r="L93" i="2"/>
  <c r="K93" i="2"/>
  <c r="J93" i="2"/>
  <c r="I93" i="2"/>
  <c r="H93" i="2"/>
  <c r="G93" i="2"/>
  <c r="F93" i="2"/>
  <c r="E93" i="2"/>
  <c r="D93" i="2"/>
  <c r="C93" i="2"/>
  <c r="AM92" i="2"/>
  <c r="AL92" i="2"/>
  <c r="AK92" i="2"/>
  <c r="AJ92" i="2"/>
  <c r="AI92" i="2"/>
  <c r="AH92" i="2"/>
  <c r="AG92" i="2"/>
  <c r="AF92" i="2"/>
  <c r="AE92" i="2"/>
  <c r="AC92" i="2"/>
  <c r="AB92" i="2"/>
  <c r="AL88" i="2"/>
  <c r="AK88" i="2"/>
  <c r="AJ88" i="2"/>
  <c r="AI88" i="2"/>
  <c r="AH88" i="2"/>
  <c r="AG88" i="2"/>
  <c r="AF88" i="2"/>
  <c r="AE88" i="2"/>
  <c r="AM87" i="2"/>
  <c r="AL87" i="2"/>
  <c r="AL112" i="2" s="1"/>
  <c r="AX112" i="2" s="1"/>
  <c r="AK87" i="2"/>
  <c r="AJ87" i="2"/>
  <c r="AI87" i="2"/>
  <c r="AH87" i="2"/>
  <c r="AG87" i="2"/>
  <c r="AF87" i="2"/>
  <c r="AE87" i="2"/>
  <c r="AW86" i="2"/>
  <c r="AM86" i="2"/>
  <c r="AL86" i="2"/>
  <c r="AK86" i="2"/>
  <c r="AJ86" i="2"/>
  <c r="AI86" i="2"/>
  <c r="AH86" i="2"/>
  <c r="AG86" i="2"/>
  <c r="AF86" i="2"/>
  <c r="AE86" i="2"/>
  <c r="AM85" i="2"/>
  <c r="P139" i="4" s="1"/>
  <c r="P149" i="4" s="1"/>
  <c r="AL85" i="2"/>
  <c r="O139" i="4" s="1"/>
  <c r="AK85" i="2"/>
  <c r="N139" i="4" s="1"/>
  <c r="AJ85" i="2"/>
  <c r="M139" i="4" s="1"/>
  <c r="AI85" i="2"/>
  <c r="L139" i="4" s="1"/>
  <c r="L149" i="4" s="1"/>
  <c r="AH85" i="2"/>
  <c r="AG85" i="2"/>
  <c r="AF85" i="2"/>
  <c r="AE85" i="2"/>
  <c r="AX84" i="2"/>
  <c r="AW84" i="2"/>
  <c r="AM83" i="2"/>
  <c r="AL83" i="2"/>
  <c r="AK83" i="2"/>
  <c r="AJ83" i="2"/>
  <c r="AI83" i="2"/>
  <c r="AH83" i="2"/>
  <c r="AG83" i="2"/>
  <c r="AF83" i="2"/>
  <c r="AE83" i="2"/>
  <c r="AX80" i="2"/>
  <c r="AW80" i="2"/>
  <c r="AW87" i="2" s="1"/>
  <c r="AV80" i="2"/>
  <c r="AU80" i="2"/>
  <c r="AT80" i="2"/>
  <c r="AS80" i="2"/>
  <c r="AX79" i="2"/>
  <c r="AX78" i="2"/>
  <c r="AX77" i="2"/>
  <c r="AW77" i="2"/>
  <c r="AW88" i="2" s="1"/>
  <c r="AV77" i="2"/>
  <c r="AU77" i="2"/>
  <c r="AT77" i="2"/>
  <c r="AS77" i="2"/>
  <c r="AR77" i="2"/>
  <c r="AQ77" i="2"/>
  <c r="AP77" i="2"/>
  <c r="AM77" i="2"/>
  <c r="AM106" i="2" s="1"/>
  <c r="AX76" i="2"/>
  <c r="AW76" i="2"/>
  <c r="AV76" i="2"/>
  <c r="AU76" i="2"/>
  <c r="AT76" i="2"/>
  <c r="AS76" i="2"/>
  <c r="AR76" i="2"/>
  <c r="AQ76" i="2"/>
  <c r="AP76" i="2"/>
  <c r="AM76" i="2"/>
  <c r="AX75" i="2"/>
  <c r="AW75" i="2"/>
  <c r="AV75" i="2"/>
  <c r="AX74" i="2"/>
  <c r="AW74" i="2"/>
  <c r="AV74" i="2"/>
  <c r="AU74" i="2"/>
  <c r="AT74" i="2"/>
  <c r="AS74" i="2"/>
  <c r="AR74" i="2"/>
  <c r="AQ74" i="2"/>
  <c r="AP74" i="2"/>
  <c r="AM74" i="2"/>
  <c r="AX73" i="2"/>
  <c r="AW73" i="2"/>
  <c r="AV73" i="2"/>
  <c r="AU73" i="2"/>
  <c r="AT73" i="2"/>
  <c r="AS73" i="2"/>
  <c r="AR73" i="2"/>
  <c r="AQ73" i="2"/>
  <c r="AP73" i="2"/>
  <c r="AM73" i="2"/>
  <c r="AX72" i="2"/>
  <c r="AM71" i="2"/>
  <c r="AM109" i="2" s="1"/>
  <c r="AM131" i="2" s="1"/>
  <c r="P87" i="4" s="1"/>
  <c r="S87" i="4" s="1"/>
  <c r="AX70" i="2"/>
  <c r="AX69" i="2"/>
  <c r="AW69" i="2"/>
  <c r="AV69" i="2"/>
  <c r="AU69" i="2"/>
  <c r="AT69" i="2"/>
  <c r="AS69" i="2"/>
  <c r="AM69" i="2"/>
  <c r="AM98" i="2" s="1"/>
  <c r="P115" i="4" s="1"/>
  <c r="S115" i="4" s="1"/>
  <c r="AX68" i="2"/>
  <c r="AQ68" i="2"/>
  <c r="AX67" i="2"/>
  <c r="AW67" i="2"/>
  <c r="AW85" i="2" s="1"/>
  <c r="G95" i="1" s="1"/>
  <c r="G160" i="1" s="1"/>
  <c r="AV67" i="2"/>
  <c r="AU67" i="2"/>
  <c r="AT67" i="2"/>
  <c r="AS67" i="2"/>
  <c r="AR67" i="2"/>
  <c r="AQ67" i="2"/>
  <c r="AP67" i="2"/>
  <c r="AX66" i="2"/>
  <c r="AW66" i="2"/>
  <c r="AW83" i="2" s="1"/>
  <c r="AV66" i="2"/>
  <c r="AU66" i="2"/>
  <c r="AT66" i="2"/>
  <c r="AS66" i="2"/>
  <c r="AR66" i="2"/>
  <c r="AQ66" i="2"/>
  <c r="AP66" i="2"/>
  <c r="AQ65" i="2"/>
  <c r="AP65" i="2"/>
  <c r="AQ64" i="2"/>
  <c r="AP64" i="2"/>
  <c r="AM63" i="2"/>
  <c r="AL63" i="2"/>
  <c r="AL81" i="2" s="1"/>
  <c r="O138" i="4" s="1"/>
  <c r="AK63" i="2"/>
  <c r="AK81" i="2" s="1"/>
  <c r="N138" i="4" s="1"/>
  <c r="AJ63" i="2"/>
  <c r="AJ81" i="2" s="1"/>
  <c r="M138" i="4" s="1"/>
  <c r="AI63" i="2"/>
  <c r="AH63" i="2"/>
  <c r="AH81" i="2" s="1"/>
  <c r="AG63" i="2"/>
  <c r="AG81" i="2" s="1"/>
  <c r="AF63" i="2"/>
  <c r="AF81" i="2" s="1"/>
  <c r="AE63" i="2"/>
  <c r="AE81" i="2" s="1"/>
  <c r="AD63" i="2"/>
  <c r="AC63" i="2"/>
  <c r="AC81" i="2" s="1"/>
  <c r="AB63" i="2"/>
  <c r="AB81" i="2" s="1"/>
  <c r="AA63" i="2"/>
  <c r="AA81" i="2" s="1"/>
  <c r="Z63" i="2"/>
  <c r="Z81" i="2" s="1"/>
  <c r="Y63" i="2"/>
  <c r="Y81" i="2" s="1"/>
  <c r="X63" i="2"/>
  <c r="X81" i="2" s="1"/>
  <c r="W63" i="2"/>
  <c r="V63" i="2"/>
  <c r="V81" i="2" s="1"/>
  <c r="U63" i="2"/>
  <c r="U81" i="2" s="1"/>
  <c r="T63" i="2"/>
  <c r="T81" i="2" s="1"/>
  <c r="S63" i="2"/>
  <c r="R63" i="2"/>
  <c r="R81" i="2" s="1"/>
  <c r="Q63" i="2"/>
  <c r="Q81" i="2" s="1"/>
  <c r="P63" i="2"/>
  <c r="P81" i="2" s="1"/>
  <c r="O63" i="2"/>
  <c r="O81" i="2" s="1"/>
  <c r="N63" i="2"/>
  <c r="N81" i="2" s="1"/>
  <c r="M63" i="2"/>
  <c r="M81" i="2" s="1"/>
  <c r="L63" i="2"/>
  <c r="L81" i="2" s="1"/>
  <c r="K63" i="2"/>
  <c r="J63" i="2"/>
  <c r="J81" i="2" s="1"/>
  <c r="I63" i="2"/>
  <c r="I81" i="2" s="1"/>
  <c r="H63" i="2"/>
  <c r="H81" i="2" s="1"/>
  <c r="G63" i="2"/>
  <c r="G81" i="2" s="1"/>
  <c r="F63" i="2"/>
  <c r="F81" i="2" s="1"/>
  <c r="E63" i="2"/>
  <c r="E81" i="2" s="1"/>
  <c r="D63" i="2"/>
  <c r="D81" i="2" s="1"/>
  <c r="C63" i="2"/>
  <c r="AM62" i="2"/>
  <c r="AL62" i="2"/>
  <c r="AK62" i="2"/>
  <c r="AJ62" i="2"/>
  <c r="AI62" i="2"/>
  <c r="AH62" i="2"/>
  <c r="AG62" i="2"/>
  <c r="AF62" i="2"/>
  <c r="AE62" i="2"/>
  <c r="AC62" i="2"/>
  <c r="AB62" i="2"/>
  <c r="AA62" i="2"/>
  <c r="Z62" i="2"/>
  <c r="Y62" i="2"/>
  <c r="X62" i="2"/>
  <c r="W62" i="2"/>
  <c r="V62" i="2"/>
  <c r="U62" i="2"/>
  <c r="T62" i="2"/>
  <c r="S62" i="2"/>
  <c r="R62" i="2"/>
  <c r="Q62" i="2"/>
  <c r="P62" i="2"/>
  <c r="O62" i="2"/>
  <c r="N62" i="2"/>
  <c r="M62" i="2"/>
  <c r="L62" i="2"/>
  <c r="K62" i="2"/>
  <c r="J62" i="2"/>
  <c r="I62" i="2"/>
  <c r="H62" i="2"/>
  <c r="G62" i="2"/>
  <c r="F62" i="2"/>
  <c r="E62" i="2"/>
  <c r="D62" i="2"/>
  <c r="C62" i="2"/>
  <c r="AM61" i="2"/>
  <c r="AL61" i="2"/>
  <c r="AK61" i="2"/>
  <c r="AJ61" i="2"/>
  <c r="AI61" i="2"/>
  <c r="AH61" i="2"/>
  <c r="AG61" i="2"/>
  <c r="AF61" i="2"/>
  <c r="AE61" i="2"/>
  <c r="AC61" i="2"/>
  <c r="AB61" i="2"/>
  <c r="AX57" i="2"/>
  <c r="AW57" i="2"/>
  <c r="AV57" i="2"/>
  <c r="AU57" i="2"/>
  <c r="AT57" i="2"/>
  <c r="AS57" i="2"/>
  <c r="AR57" i="2"/>
  <c r="AQ57" i="2"/>
  <c r="AP57" i="2"/>
  <c r="AX56" i="2"/>
  <c r="AQ56" i="2"/>
  <c r="AX54" i="2"/>
  <c r="AX53" i="2"/>
  <c r="AX52" i="2"/>
  <c r="AW52" i="2"/>
  <c r="AV52" i="2"/>
  <c r="AU52" i="2"/>
  <c r="AT52" i="2"/>
  <c r="AS52" i="2"/>
  <c r="AR52" i="2"/>
  <c r="AQ52" i="2"/>
  <c r="AP52" i="2"/>
  <c r="AX51" i="2"/>
  <c r="AX129" i="2" s="1"/>
  <c r="H79" i="1" s="1"/>
  <c r="AW51" i="2"/>
  <c r="AW129" i="2" s="1"/>
  <c r="G79" i="1" s="1"/>
  <c r="AV51" i="2"/>
  <c r="AU51" i="2"/>
  <c r="AT51" i="2"/>
  <c r="AS51" i="2"/>
  <c r="AX50" i="2"/>
  <c r="AW50" i="2"/>
  <c r="AV50" i="2"/>
  <c r="AU50" i="2"/>
  <c r="AT50" i="2"/>
  <c r="AS50" i="2"/>
  <c r="AR50" i="2"/>
  <c r="AQ50" i="2"/>
  <c r="AP50" i="2"/>
  <c r="AM49" i="2"/>
  <c r="AM58" i="2" s="1"/>
  <c r="AL49" i="2"/>
  <c r="AL58" i="2" s="1"/>
  <c r="AK49" i="2"/>
  <c r="AK58" i="2" s="1"/>
  <c r="AJ49" i="2"/>
  <c r="AJ58" i="2" s="1"/>
  <c r="AI49" i="2"/>
  <c r="AI58" i="2" s="1"/>
  <c r="AH49" i="2"/>
  <c r="AH58" i="2" s="1"/>
  <c r="AG49" i="2"/>
  <c r="AG58" i="2" s="1"/>
  <c r="AF49" i="2"/>
  <c r="AF58" i="2" s="1"/>
  <c r="AE49" i="2"/>
  <c r="AD49" i="2"/>
  <c r="AD58" i="2" s="1"/>
  <c r="AC49" i="2"/>
  <c r="AC58" i="2" s="1"/>
  <c r="AB49" i="2"/>
  <c r="AB58" i="2" s="1"/>
  <c r="AA49" i="2"/>
  <c r="AA58" i="2" s="1"/>
  <c r="Z49" i="2"/>
  <c r="Z58" i="2" s="1"/>
  <c r="Y49" i="2"/>
  <c r="Y58" i="2" s="1"/>
  <c r="X49" i="2"/>
  <c r="X58" i="2" s="1"/>
  <c r="W49" i="2"/>
  <c r="W58" i="2" s="1"/>
  <c r="V49" i="2"/>
  <c r="V58" i="2" s="1"/>
  <c r="U49" i="2"/>
  <c r="U58" i="2" s="1"/>
  <c r="T49" i="2"/>
  <c r="T58" i="2" s="1"/>
  <c r="S49" i="2"/>
  <c r="S58" i="2" s="1"/>
  <c r="R49" i="2"/>
  <c r="R58" i="2" s="1"/>
  <c r="Q49" i="2"/>
  <c r="Q58" i="2" s="1"/>
  <c r="P49" i="2"/>
  <c r="P58" i="2" s="1"/>
  <c r="O49" i="2"/>
  <c r="O58" i="2" s="1"/>
  <c r="N49" i="2"/>
  <c r="N58" i="2" s="1"/>
  <c r="M49" i="2"/>
  <c r="L49" i="2"/>
  <c r="L58" i="2" s="1"/>
  <c r="K49" i="2"/>
  <c r="K58" i="2" s="1"/>
  <c r="J49" i="2"/>
  <c r="J58" i="2" s="1"/>
  <c r="I49" i="2"/>
  <c r="I58" i="2" s="1"/>
  <c r="H49" i="2"/>
  <c r="H58" i="2" s="1"/>
  <c r="G49" i="2"/>
  <c r="F49" i="2"/>
  <c r="F58" i="2" s="1"/>
  <c r="E49" i="2"/>
  <c r="E58" i="2" s="1"/>
  <c r="D49" i="2"/>
  <c r="D58" i="2" s="1"/>
  <c r="C49" i="2"/>
  <c r="C58" i="2" s="1"/>
  <c r="AX46" i="2"/>
  <c r="AV46" i="2"/>
  <c r="AU46" i="2"/>
  <c r="AT46" i="2"/>
  <c r="AS46" i="2"/>
  <c r="AR46" i="2"/>
  <c r="AQ46" i="2"/>
  <c r="AP46" i="2"/>
  <c r="AX44" i="2"/>
  <c r="AW44" i="2"/>
  <c r="AV44" i="2"/>
  <c r="AU44" i="2"/>
  <c r="AT44" i="2"/>
  <c r="AS44" i="2"/>
  <c r="AR44" i="2"/>
  <c r="AQ44" i="2"/>
  <c r="AP44" i="2"/>
  <c r="AX43" i="2"/>
  <c r="AW43" i="2"/>
  <c r="AV43" i="2"/>
  <c r="AU43" i="2"/>
  <c r="AT43" i="2"/>
  <c r="AS43" i="2"/>
  <c r="AR43" i="2"/>
  <c r="AQ43" i="2"/>
  <c r="AP43" i="2"/>
  <c r="AM42" i="2"/>
  <c r="AM47" i="2" s="1"/>
  <c r="AL42" i="2"/>
  <c r="AL47" i="2" s="1"/>
  <c r="AK42" i="2"/>
  <c r="AK47" i="2" s="1"/>
  <c r="AJ42" i="2"/>
  <c r="AJ47" i="2" s="1"/>
  <c r="AI42" i="2"/>
  <c r="AI47" i="2" s="1"/>
  <c r="AH42" i="2"/>
  <c r="AH47" i="2" s="1"/>
  <c r="AG42" i="2"/>
  <c r="AG47" i="2" s="1"/>
  <c r="AF42" i="2"/>
  <c r="AF47" i="2" s="1"/>
  <c r="AE42" i="2"/>
  <c r="AE47" i="2" s="1"/>
  <c r="AD42" i="2"/>
  <c r="AD47" i="2" s="1"/>
  <c r="AC42" i="2"/>
  <c r="AC47" i="2" s="1"/>
  <c r="AB42" i="2"/>
  <c r="AB47" i="2" s="1"/>
  <c r="AA42" i="2"/>
  <c r="AA47" i="2" s="1"/>
  <c r="Z42" i="2"/>
  <c r="Z47" i="2" s="1"/>
  <c r="Y42" i="2"/>
  <c r="Y47" i="2" s="1"/>
  <c r="X42" i="2"/>
  <c r="W42" i="2"/>
  <c r="W47" i="2" s="1"/>
  <c r="V42" i="2"/>
  <c r="V47" i="2" s="1"/>
  <c r="U42" i="2"/>
  <c r="U47" i="2" s="1"/>
  <c r="T42" i="2"/>
  <c r="S42" i="2"/>
  <c r="S47" i="2" s="1"/>
  <c r="R42" i="2"/>
  <c r="R47" i="2" s="1"/>
  <c r="Q42" i="2"/>
  <c r="Q47" i="2" s="1"/>
  <c r="P42" i="2"/>
  <c r="P47" i="2" s="1"/>
  <c r="O42" i="2"/>
  <c r="N42" i="2"/>
  <c r="N47" i="2" s="1"/>
  <c r="M42" i="2"/>
  <c r="L42" i="2"/>
  <c r="L47" i="2" s="1"/>
  <c r="K42" i="2"/>
  <c r="K47" i="2" s="1"/>
  <c r="J42" i="2"/>
  <c r="J47" i="2" s="1"/>
  <c r="I42" i="2"/>
  <c r="I47" i="2" s="1"/>
  <c r="H42" i="2"/>
  <c r="G42" i="2"/>
  <c r="G47" i="2" s="1"/>
  <c r="F42" i="2"/>
  <c r="F47" i="2" s="1"/>
  <c r="E42" i="2"/>
  <c r="E47" i="2" s="1"/>
  <c r="D42" i="2"/>
  <c r="D47" i="2" s="1"/>
  <c r="C42" i="2"/>
  <c r="C47" i="2" s="1"/>
  <c r="AX39" i="2"/>
  <c r="AW39" i="2"/>
  <c r="AV39" i="2"/>
  <c r="AU39" i="2"/>
  <c r="AT39" i="2"/>
  <c r="AS39" i="2"/>
  <c r="AR39" i="2"/>
  <c r="AQ39" i="2"/>
  <c r="AP39" i="2"/>
  <c r="AX37" i="2"/>
  <c r="AW37" i="2"/>
  <c r="AV37" i="2"/>
  <c r="AU37" i="2"/>
  <c r="AT37" i="2"/>
  <c r="AS37" i="2"/>
  <c r="AR37" i="2"/>
  <c r="AQ37" i="2"/>
  <c r="AP37" i="2"/>
  <c r="AX36" i="2"/>
  <c r="AW36" i="2"/>
  <c r="AV36" i="2"/>
  <c r="AU36" i="2"/>
  <c r="AT36" i="2"/>
  <c r="AS36" i="2"/>
  <c r="AR36" i="2"/>
  <c r="AQ36" i="2"/>
  <c r="AP36" i="2"/>
  <c r="AM35" i="2"/>
  <c r="AM40" i="2" s="1"/>
  <c r="AL35" i="2"/>
  <c r="AL40" i="2" s="1"/>
  <c r="AK35" i="2"/>
  <c r="AK40" i="2" s="1"/>
  <c r="AJ35" i="2"/>
  <c r="AJ40" i="2" s="1"/>
  <c r="AI35" i="2"/>
  <c r="AI40" i="2" s="1"/>
  <c r="AH35" i="2"/>
  <c r="AH40" i="2" s="1"/>
  <c r="AG35" i="2"/>
  <c r="AG40" i="2" s="1"/>
  <c r="AF35" i="2"/>
  <c r="AF40" i="2" s="1"/>
  <c r="AE35" i="2"/>
  <c r="AD35" i="2"/>
  <c r="AD40" i="2" s="1"/>
  <c r="AC35" i="2"/>
  <c r="AC40" i="2" s="1"/>
  <c r="AB35" i="2"/>
  <c r="AB40" i="2" s="1"/>
  <c r="AA35" i="2"/>
  <c r="Z35" i="2"/>
  <c r="Z40" i="2" s="1"/>
  <c r="Y35" i="2"/>
  <c r="Y40" i="2" s="1"/>
  <c r="X35" i="2"/>
  <c r="X40" i="2" s="1"/>
  <c r="W35" i="2"/>
  <c r="W40" i="2" s="1"/>
  <c r="V35" i="2"/>
  <c r="V40" i="2" s="1"/>
  <c r="U35" i="2"/>
  <c r="U40" i="2" s="1"/>
  <c r="T35" i="2"/>
  <c r="T40" i="2" s="1"/>
  <c r="S35" i="2"/>
  <c r="S40" i="2" s="1"/>
  <c r="R35" i="2"/>
  <c r="R40" i="2" s="1"/>
  <c r="Q35" i="2"/>
  <c r="Q40" i="2" s="1"/>
  <c r="P35" i="2"/>
  <c r="P40" i="2" s="1"/>
  <c r="O35" i="2"/>
  <c r="O40" i="2" s="1"/>
  <c r="N35" i="2"/>
  <c r="N40" i="2" s="1"/>
  <c r="M35" i="2"/>
  <c r="M40" i="2" s="1"/>
  <c r="L35" i="2"/>
  <c r="L40" i="2" s="1"/>
  <c r="K35" i="2"/>
  <c r="K40" i="2" s="1"/>
  <c r="J35" i="2"/>
  <c r="J40" i="2" s="1"/>
  <c r="I35" i="2"/>
  <c r="I40" i="2" s="1"/>
  <c r="H35" i="2"/>
  <c r="H40" i="2" s="1"/>
  <c r="G35" i="2"/>
  <c r="F35" i="2"/>
  <c r="F40" i="2" s="1"/>
  <c r="E35" i="2"/>
  <c r="E40" i="2" s="1"/>
  <c r="D35" i="2"/>
  <c r="D40" i="2" s="1"/>
  <c r="C35" i="2"/>
  <c r="C40" i="2" s="1"/>
  <c r="AQ31" i="2"/>
  <c r="AP31" i="2"/>
  <c r="AM31" i="2"/>
  <c r="AL31" i="2"/>
  <c r="AK31" i="2"/>
  <c r="AJ31" i="2"/>
  <c r="AI31" i="2"/>
  <c r="AH31" i="2"/>
  <c r="AG31" i="2"/>
  <c r="AF31" i="2"/>
  <c r="AE31" i="2"/>
  <c r="AD31" i="2"/>
  <c r="AC31" i="2"/>
  <c r="AB31" i="2"/>
  <c r="AA31" i="2"/>
  <c r="Z31" i="2"/>
  <c r="Y31" i="2"/>
  <c r="W31" i="2"/>
  <c r="V31" i="2"/>
  <c r="U31" i="2"/>
  <c r="T31" i="2"/>
  <c r="S31" i="2"/>
  <c r="R31" i="2"/>
  <c r="Q31" i="2"/>
  <c r="P31" i="2"/>
  <c r="O31" i="2"/>
  <c r="N31" i="2"/>
  <c r="M31" i="2"/>
  <c r="L31" i="2"/>
  <c r="K31" i="2"/>
  <c r="AX28" i="2"/>
  <c r="AW28" i="2"/>
  <c r="AV28" i="2"/>
  <c r="AU28" i="2"/>
  <c r="AT28" i="2"/>
  <c r="AS28" i="2"/>
  <c r="AR28" i="2"/>
  <c r="AQ28" i="2"/>
  <c r="AP28" i="2"/>
  <c r="AX27" i="2"/>
  <c r="AQ27" i="2"/>
  <c r="AX26" i="2"/>
  <c r="AW26" i="2"/>
  <c r="AV26" i="2"/>
  <c r="AX25" i="2"/>
  <c r="AX23" i="2"/>
  <c r="AM23" i="2"/>
  <c r="AM70" i="2" s="1"/>
  <c r="AM108" i="2" s="1"/>
  <c r="AM130" i="2" s="1"/>
  <c r="P86" i="4" s="1"/>
  <c r="S86" i="4" s="1"/>
  <c r="AX22" i="2"/>
  <c r="AW22" i="2"/>
  <c r="AV22" i="2"/>
  <c r="AU22" i="2"/>
  <c r="AT22" i="2"/>
  <c r="AS22" i="2"/>
  <c r="AR22" i="2"/>
  <c r="AQ22" i="2"/>
  <c r="AP22" i="2"/>
  <c r="AX21" i="2"/>
  <c r="AW21" i="2"/>
  <c r="AV21" i="2"/>
  <c r="AT21" i="2"/>
  <c r="AS21" i="2"/>
  <c r="AR21" i="2"/>
  <c r="AQ21" i="2"/>
  <c r="AP21" i="2"/>
  <c r="X21" i="2"/>
  <c r="AU21" i="2" s="1"/>
  <c r="AX20" i="2"/>
  <c r="AW20" i="2"/>
  <c r="AV20" i="2"/>
  <c r="AU20" i="2"/>
  <c r="AT20" i="2"/>
  <c r="AS20" i="2"/>
  <c r="AR20" i="2"/>
  <c r="AQ20" i="2"/>
  <c r="AP20" i="2"/>
  <c r="AM19" i="2"/>
  <c r="AL19" i="2"/>
  <c r="AL29" i="2" s="1"/>
  <c r="AK19" i="2"/>
  <c r="AK29" i="2" s="1"/>
  <c r="AJ19" i="2"/>
  <c r="AJ29" i="2" s="1"/>
  <c r="AI19" i="2"/>
  <c r="AI29" i="2" s="1"/>
  <c r="AH19" i="2"/>
  <c r="AH29" i="2" s="1"/>
  <c r="AG19" i="2"/>
  <c r="AG29" i="2" s="1"/>
  <c r="AF19" i="2"/>
  <c r="AF29" i="2" s="1"/>
  <c r="AE19" i="2"/>
  <c r="AD19" i="2"/>
  <c r="AD29" i="2" s="1"/>
  <c r="AC19" i="2"/>
  <c r="AC29" i="2" s="1"/>
  <c r="AB19" i="2"/>
  <c r="AB29" i="2" s="1"/>
  <c r="AA19" i="2"/>
  <c r="Z19" i="2"/>
  <c r="Z29" i="2" s="1"/>
  <c r="Y19" i="2"/>
  <c r="Y29" i="2" s="1"/>
  <c r="X19" i="2"/>
  <c r="W19" i="2"/>
  <c r="W29" i="2" s="1"/>
  <c r="V19" i="2"/>
  <c r="V29" i="2" s="1"/>
  <c r="U19" i="2"/>
  <c r="U29" i="2" s="1"/>
  <c r="T19" i="2"/>
  <c r="S19" i="2"/>
  <c r="S29" i="2" s="1"/>
  <c r="R19" i="2"/>
  <c r="R29" i="2" s="1"/>
  <c r="Q19" i="2"/>
  <c r="Q29" i="2" s="1"/>
  <c r="P19" i="2"/>
  <c r="P29" i="2" s="1"/>
  <c r="O19" i="2"/>
  <c r="O29" i="2" s="1"/>
  <c r="N19" i="2"/>
  <c r="N29" i="2" s="1"/>
  <c r="M19" i="2"/>
  <c r="M29" i="2" s="1"/>
  <c r="L19" i="2"/>
  <c r="L29" i="2" s="1"/>
  <c r="K19" i="2"/>
  <c r="K29" i="2" s="1"/>
  <c r="J19" i="2"/>
  <c r="J29" i="2" s="1"/>
  <c r="I19" i="2"/>
  <c r="I29" i="2" s="1"/>
  <c r="H19" i="2"/>
  <c r="H29" i="2" s="1"/>
  <c r="G19" i="2"/>
  <c r="G29" i="2" s="1"/>
  <c r="F19" i="2"/>
  <c r="F29" i="2" s="1"/>
  <c r="E19" i="2"/>
  <c r="E29" i="2" s="1"/>
  <c r="D19" i="2"/>
  <c r="D29" i="2" s="1"/>
  <c r="C19" i="2"/>
  <c r="C29" i="2" s="1"/>
  <c r="AM17" i="2"/>
  <c r="AL17" i="2"/>
  <c r="AK17" i="2"/>
  <c r="AJ17" i="2"/>
  <c r="AI17" i="2"/>
  <c r="AH17" i="2"/>
  <c r="AG17" i="2"/>
  <c r="AF17" i="2"/>
  <c r="AE17" i="2"/>
  <c r="AD17" i="2"/>
  <c r="AC17" i="2"/>
  <c r="AB17" i="2"/>
  <c r="AA17" i="2"/>
  <c r="Z17" i="2"/>
  <c r="Y17" i="2"/>
  <c r="X17" i="2"/>
  <c r="W17" i="2"/>
  <c r="V17" i="2"/>
  <c r="U17" i="2"/>
  <c r="T17" i="2"/>
  <c r="S17" i="2"/>
  <c r="R17" i="2"/>
  <c r="Q17" i="2"/>
  <c r="P17" i="2"/>
  <c r="O17" i="2"/>
  <c r="N17" i="2"/>
  <c r="M17" i="2"/>
  <c r="L17" i="2"/>
  <c r="K17" i="2"/>
  <c r="J17" i="2"/>
  <c r="I17" i="2"/>
  <c r="H17" i="2"/>
  <c r="G17" i="2"/>
  <c r="F17" i="2"/>
  <c r="E17" i="2"/>
  <c r="D17" i="2"/>
  <c r="C17" i="2"/>
  <c r="S15" i="2"/>
  <c r="R15" i="2"/>
  <c r="Q15" i="2"/>
  <c r="P15" i="2"/>
  <c r="AT12" i="2"/>
  <c r="AS12" i="2"/>
  <c r="AS11" i="2"/>
  <c r="AM11" i="2"/>
  <c r="AL11" i="2"/>
  <c r="AK11" i="2"/>
  <c r="AJ11" i="2"/>
  <c r="AI11" i="2"/>
  <c r="AH11" i="2"/>
  <c r="AG11" i="2"/>
  <c r="AE11" i="2"/>
  <c r="AD11" i="2"/>
  <c r="AC11" i="2"/>
  <c r="AB11" i="2"/>
  <c r="AA11" i="2"/>
  <c r="Z11" i="2"/>
  <c r="Y11" i="2"/>
  <c r="X11" i="2"/>
  <c r="W11" i="2"/>
  <c r="V11" i="2"/>
  <c r="AT11" i="2" s="1"/>
  <c r="AS10" i="2"/>
  <c r="AR10" i="2"/>
  <c r="AQ10" i="2"/>
  <c r="AP10" i="2"/>
  <c r="AM10" i="2"/>
  <c r="AL10" i="2"/>
  <c r="AK10" i="2"/>
  <c r="AJ10" i="2"/>
  <c r="AI10" i="2"/>
  <c r="AH10" i="2"/>
  <c r="AG10" i="2"/>
  <c r="AE10" i="2"/>
  <c r="AD10" i="2"/>
  <c r="AC10" i="2"/>
  <c r="AB10" i="2"/>
  <c r="AA10" i="2"/>
  <c r="Z10" i="2"/>
  <c r="Y10" i="2"/>
  <c r="X10" i="2"/>
  <c r="W10" i="2"/>
  <c r="V10" i="2"/>
  <c r="AT10" i="2" s="1"/>
  <c r="AQ9" i="2"/>
  <c r="AP9" i="2"/>
  <c r="AM8" i="2"/>
  <c r="AL8" i="2"/>
  <c r="AK8" i="2"/>
  <c r="AJ8" i="2"/>
  <c r="AI8" i="2"/>
  <c r="AH8" i="2"/>
  <c r="AG8" i="2"/>
  <c r="AF8" i="2"/>
  <c r="AE8" i="2"/>
  <c r="AD8" i="2"/>
  <c r="AC8" i="2"/>
  <c r="AB8" i="2"/>
  <c r="AA8" i="2"/>
  <c r="Z8" i="2"/>
  <c r="Y8" i="2"/>
  <c r="X8" i="2"/>
  <c r="W8" i="2"/>
  <c r="V8" i="2"/>
  <c r="U8" i="2"/>
  <c r="T8" i="2"/>
  <c r="S8" i="2"/>
  <c r="R8" i="2"/>
  <c r="Q8" i="2"/>
  <c r="P8" i="2"/>
  <c r="O8" i="2"/>
  <c r="N8" i="2"/>
  <c r="M8" i="2"/>
  <c r="L8" i="2"/>
  <c r="K8" i="2"/>
  <c r="J8" i="2"/>
  <c r="I8" i="2"/>
  <c r="H8" i="2"/>
  <c r="G8" i="2"/>
  <c r="F8" i="2"/>
  <c r="E8" i="2"/>
  <c r="D8" i="2"/>
  <c r="C8" i="2"/>
  <c r="D5" i="2"/>
  <c r="M149" i="4" l="1"/>
  <c r="K307" i="4"/>
  <c r="K311" i="4"/>
  <c r="O308" i="4"/>
  <c r="J77" i="4"/>
  <c r="N264" i="4"/>
  <c r="N285" i="4"/>
  <c r="R285" i="4" s="1"/>
  <c r="V285" i="4" s="1"/>
  <c r="N295" i="4"/>
  <c r="I77" i="4"/>
  <c r="H195" i="9" s="1"/>
  <c r="N149" i="4"/>
  <c r="L307" i="4"/>
  <c r="L308" i="4"/>
  <c r="L311" i="4"/>
  <c r="K77" i="4"/>
  <c r="K201" i="4"/>
  <c r="K202" i="4" s="1"/>
  <c r="K14" i="4"/>
  <c r="K304" i="4" s="1"/>
  <c r="D17" i="7"/>
  <c r="J12" i="4"/>
  <c r="C35" i="7"/>
  <c r="I38" i="4"/>
  <c r="I295" i="4"/>
  <c r="I264" i="4"/>
  <c r="I285" i="4"/>
  <c r="O149" i="4"/>
  <c r="D35" i="10"/>
  <c r="D543" i="9"/>
  <c r="M311" i="4"/>
  <c r="M308" i="4"/>
  <c r="M307" i="4"/>
  <c r="L77" i="4"/>
  <c r="AG77" i="4" s="1"/>
  <c r="F17" i="7"/>
  <c r="L12" i="4"/>
  <c r="D35" i="7"/>
  <c r="J38" i="4"/>
  <c r="J264" i="4"/>
  <c r="J295" i="4"/>
  <c r="J285" i="4"/>
  <c r="B17" i="7"/>
  <c r="H12" i="4"/>
  <c r="N311" i="4"/>
  <c r="N308" i="4"/>
  <c r="N307" i="4"/>
  <c r="G17" i="7"/>
  <c r="M12" i="4"/>
  <c r="B26" i="7"/>
  <c r="U26" i="7" s="1"/>
  <c r="H266" i="4" s="1"/>
  <c r="H29" i="4"/>
  <c r="V52" i="6"/>
  <c r="O30" i="4"/>
  <c r="E33" i="15" s="1"/>
  <c r="L264" i="4"/>
  <c r="L295" i="4"/>
  <c r="L285" i="4"/>
  <c r="N77" i="4"/>
  <c r="M195" i="9" s="1"/>
  <c r="H17" i="7"/>
  <c r="N12" i="4"/>
  <c r="C26" i="7"/>
  <c r="V26" i="7" s="1"/>
  <c r="I266" i="4" s="1"/>
  <c r="I29" i="4"/>
  <c r="F35" i="7"/>
  <c r="L38" i="4"/>
  <c r="M264" i="4"/>
  <c r="M295" i="4"/>
  <c r="M285" i="4"/>
  <c r="J311" i="4"/>
  <c r="J307" i="4"/>
  <c r="H311" i="4"/>
  <c r="H307" i="4"/>
  <c r="G77" i="4"/>
  <c r="O77" i="4"/>
  <c r="N195" i="9" s="1"/>
  <c r="R22" i="6"/>
  <c r="V51" i="6" s="1"/>
  <c r="K28" i="4"/>
  <c r="D26" i="7"/>
  <c r="W26" i="7" s="1"/>
  <c r="J266" i="4" s="1"/>
  <c r="J29" i="4"/>
  <c r="I311" i="4"/>
  <c r="I307" i="4"/>
  <c r="AL24" i="3"/>
  <c r="O60" i="4" s="1"/>
  <c r="O140" i="4" s="1"/>
  <c r="O59" i="4"/>
  <c r="O17" i="4"/>
  <c r="O222" i="4"/>
  <c r="O14" i="4"/>
  <c r="O304" i="4" s="1"/>
  <c r="O20" i="4"/>
  <c r="O221" i="4"/>
  <c r="O223" i="4"/>
  <c r="O204" i="4"/>
  <c r="O205" i="4" s="1"/>
  <c r="O19" i="4"/>
  <c r="F26" i="7"/>
  <c r="Y26" i="7" s="1"/>
  <c r="L266" i="4" s="1"/>
  <c r="L29" i="4"/>
  <c r="U32" i="6"/>
  <c r="N40" i="4" s="1"/>
  <c r="N38" i="4"/>
  <c r="D36" i="10"/>
  <c r="D38" i="10" s="1"/>
  <c r="C5" i="17"/>
  <c r="C6" i="17" s="1"/>
  <c r="C9" i="17" s="1"/>
  <c r="N192" i="9"/>
  <c r="S192" i="9" s="1"/>
  <c r="M192" i="9"/>
  <c r="R192" i="9" s="1"/>
  <c r="K192" i="9"/>
  <c r="I149" i="1"/>
  <c r="H142" i="1"/>
  <c r="O192" i="9"/>
  <c r="P155" i="4"/>
  <c r="S88" i="4"/>
  <c r="S156" i="4" s="1"/>
  <c r="P156" i="4"/>
  <c r="C16" i="15"/>
  <c r="G166" i="1"/>
  <c r="I123" i="1"/>
  <c r="I98" i="1" s="1"/>
  <c r="H98" i="1"/>
  <c r="I121" i="1"/>
  <c r="T190" i="9"/>
  <c r="T194" i="9"/>
  <c r="T191" i="9"/>
  <c r="T193" i="9"/>
  <c r="H42" i="7"/>
  <c r="G533" i="7" s="1"/>
  <c r="F533" i="7"/>
  <c r="H468" i="9"/>
  <c r="H469" i="9" s="1"/>
  <c r="E435" i="9"/>
  <c r="G253" i="1"/>
  <c r="G258" i="1" s="1"/>
  <c r="D435" i="9"/>
  <c r="AE227" i="4"/>
  <c r="L169" i="9"/>
  <c r="O258" i="9"/>
  <c r="U202" i="4"/>
  <c r="H253" i="1"/>
  <c r="H258" i="1" s="1"/>
  <c r="L192" i="9"/>
  <c r="AH74" i="4"/>
  <c r="AE25" i="7"/>
  <c r="K75" i="7" s="1"/>
  <c r="L191" i="9"/>
  <c r="AH71" i="4"/>
  <c r="L195" i="9"/>
  <c r="AH77" i="4"/>
  <c r="L190" i="9"/>
  <c r="AH68" i="4"/>
  <c r="L194" i="9"/>
  <c r="AH76" i="4"/>
  <c r="L189" i="9"/>
  <c r="AH65" i="4"/>
  <c r="R193" i="9"/>
  <c r="S194" i="9"/>
  <c r="Q193" i="9"/>
  <c r="R194" i="9"/>
  <c r="S189" i="9"/>
  <c r="S193" i="9"/>
  <c r="R190" i="9"/>
  <c r="S191" i="9"/>
  <c r="R189" i="9"/>
  <c r="T189" i="9"/>
  <c r="S190" i="9"/>
  <c r="R191" i="9"/>
  <c r="AX130" i="2"/>
  <c r="H80" i="1" s="1"/>
  <c r="AX132" i="2"/>
  <c r="H82" i="1" s="1"/>
  <c r="H167" i="1" s="1"/>
  <c r="AX133" i="2"/>
  <c r="H83" i="1" s="1"/>
  <c r="AJ116" i="2"/>
  <c r="AK116" i="2"/>
  <c r="R123" i="4"/>
  <c r="E43" i="13"/>
  <c r="E44" i="13"/>
  <c r="G261" i="1"/>
  <c r="F133" i="4"/>
  <c r="P282" i="4"/>
  <c r="AK276" i="4"/>
  <c r="U13" i="4"/>
  <c r="AL11" i="4"/>
  <c r="AM11" i="4"/>
  <c r="V13" i="4"/>
  <c r="W247" i="4"/>
  <c r="AM247" i="4"/>
  <c r="E133" i="4"/>
  <c r="E134" i="4"/>
  <c r="F134" i="4"/>
  <c r="H139" i="1"/>
  <c r="P134" i="4"/>
  <c r="S247" i="4"/>
  <c r="G21" i="13" s="1"/>
  <c r="G67" i="13" s="1"/>
  <c r="AI247" i="4"/>
  <c r="P133" i="4"/>
  <c r="H144" i="1"/>
  <c r="S195" i="4"/>
  <c r="AJ195" i="4" s="1"/>
  <c r="D69" i="10"/>
  <c r="AM29" i="2"/>
  <c r="AM33" i="2" s="1"/>
  <c r="Q54" i="7"/>
  <c r="G33" i="2"/>
  <c r="AC227" i="4"/>
  <c r="W32" i="6"/>
  <c r="P40" i="4" s="1"/>
  <c r="E24" i="3"/>
  <c r="E34" i="3" s="1"/>
  <c r="E38" i="3" s="1"/>
  <c r="E42" i="3" s="1"/>
  <c r="E44" i="3" s="1"/>
  <c r="H214" i="1"/>
  <c r="H216" i="1" s="1"/>
  <c r="C12" i="13"/>
  <c r="C58" i="13" s="1"/>
  <c r="R13" i="4"/>
  <c r="F12" i="13"/>
  <c r="F58" i="13" s="1"/>
  <c r="E12" i="13"/>
  <c r="E58" i="13" s="1"/>
  <c r="AE58" i="3"/>
  <c r="AB23" i="6"/>
  <c r="AC52" i="6" s="1"/>
  <c r="C12" i="6"/>
  <c r="C14" i="6" s="1"/>
  <c r="J9" i="6"/>
  <c r="J38" i="6" s="1"/>
  <c r="AB41" i="6"/>
  <c r="AR31" i="2"/>
  <c r="AT31" i="2"/>
  <c r="AX85" i="2"/>
  <c r="H95" i="1" s="1"/>
  <c r="H160" i="1" s="1"/>
  <c r="I58" i="3"/>
  <c r="Q58" i="3"/>
  <c r="Y58" i="3"/>
  <c r="AG58" i="3"/>
  <c r="AW23" i="3"/>
  <c r="G53" i="1" s="1"/>
  <c r="I214" i="1"/>
  <c r="I11" i="1" s="1"/>
  <c r="H12" i="13" s="1"/>
  <c r="O32" i="6"/>
  <c r="H40" i="4" s="1"/>
  <c r="H41" i="4" s="1"/>
  <c r="C24" i="3"/>
  <c r="C34" i="3" s="1"/>
  <c r="K24" i="3"/>
  <c r="K34" i="3" s="1"/>
  <c r="S24" i="3"/>
  <c r="S34" i="3" s="1"/>
  <c r="AA24" i="3"/>
  <c r="D60" i="4" s="1"/>
  <c r="D78" i="4" s="1"/>
  <c r="AI24" i="3"/>
  <c r="L60" i="4" s="1"/>
  <c r="AD227" i="4"/>
  <c r="AR55" i="3"/>
  <c r="N58" i="3"/>
  <c r="V58" i="3"/>
  <c r="AD58" i="3"/>
  <c r="AM58" i="3"/>
  <c r="AR33" i="3"/>
  <c r="O33" i="2"/>
  <c r="W33" i="2"/>
  <c r="F266" i="1"/>
  <c r="F264" i="1"/>
  <c r="J211" i="1"/>
  <c r="E2" i="1"/>
  <c r="D209" i="1"/>
  <c r="D240" i="1" s="1"/>
  <c r="G222" i="1"/>
  <c r="G229" i="1"/>
  <c r="G282" i="1"/>
  <c r="AU33" i="3"/>
  <c r="E71" i="1" s="1"/>
  <c r="C21" i="6"/>
  <c r="C23" i="6" s="1"/>
  <c r="Q50" i="6"/>
  <c r="F29" i="1"/>
  <c r="D11" i="1"/>
  <c r="AX88" i="2"/>
  <c r="L58" i="3"/>
  <c r="T58" i="3"/>
  <c r="AB58" i="3"/>
  <c r="AJ58" i="3"/>
  <c r="AC41" i="6"/>
  <c r="W59" i="6"/>
  <c r="AR17" i="2"/>
  <c r="AX83" i="2"/>
  <c r="D50" i="4"/>
  <c r="F24" i="3"/>
  <c r="F34" i="3" s="1"/>
  <c r="F38" i="3" s="1"/>
  <c r="F42" i="3" s="1"/>
  <c r="F44" i="3" s="1"/>
  <c r="H22" i="1"/>
  <c r="G58" i="3"/>
  <c r="O58" i="3"/>
  <c r="W58" i="3"/>
  <c r="AE56" i="6"/>
  <c r="P43" i="6"/>
  <c r="E13" i="4"/>
  <c r="AD60" i="6"/>
  <c r="F30" i="1"/>
  <c r="H52" i="6"/>
  <c r="T51" i="6"/>
  <c r="R32" i="6"/>
  <c r="H13" i="1"/>
  <c r="H29" i="1"/>
  <c r="J29" i="1" s="1"/>
  <c r="W38" i="4" s="1"/>
  <c r="AS55" i="3"/>
  <c r="C36" i="1"/>
  <c r="C46" i="1" s="1"/>
  <c r="AQ56" i="3"/>
  <c r="AQ57" i="3"/>
  <c r="AR23" i="3"/>
  <c r="E50" i="4"/>
  <c r="Q308" i="4"/>
  <c r="R41" i="6"/>
  <c r="Q42" i="6"/>
  <c r="I52" i="6"/>
  <c r="U51" i="6"/>
  <c r="S59" i="6"/>
  <c r="K47" i="6"/>
  <c r="E11" i="1"/>
  <c r="G12" i="1"/>
  <c r="C20" i="1"/>
  <c r="E16" i="7"/>
  <c r="AT55" i="3"/>
  <c r="D36" i="1"/>
  <c r="AR56" i="3"/>
  <c r="AR57" i="3"/>
  <c r="H58" i="3"/>
  <c r="P58" i="3"/>
  <c r="X58" i="3"/>
  <c r="AF58" i="3"/>
  <c r="AV33" i="3"/>
  <c r="F71" i="1" s="1"/>
  <c r="F59" i="1"/>
  <c r="AS33" i="3"/>
  <c r="C71" i="1" s="1"/>
  <c r="AW33" i="3"/>
  <c r="G71" i="1" s="1"/>
  <c r="G12" i="6"/>
  <c r="G14" i="6" s="1"/>
  <c r="W14" i="6"/>
  <c r="P11" i="4"/>
  <c r="D12" i="13" s="1"/>
  <c r="D58" i="13" s="1"/>
  <c r="S42" i="6"/>
  <c r="AA13" i="4"/>
  <c r="F222" i="4"/>
  <c r="F221" i="4"/>
  <c r="F223" i="4"/>
  <c r="D28" i="4"/>
  <c r="Y28" i="4" s="1"/>
  <c r="P59" i="6"/>
  <c r="E38" i="4"/>
  <c r="E41" i="4" s="1"/>
  <c r="T32" i="6"/>
  <c r="M40" i="4" s="1"/>
  <c r="M41" i="4" s="1"/>
  <c r="F11" i="1"/>
  <c r="D20" i="1"/>
  <c r="B35" i="7"/>
  <c r="D33" i="2"/>
  <c r="L33" i="2"/>
  <c r="AB33" i="2"/>
  <c r="AJ33" i="2"/>
  <c r="AW31" i="2"/>
  <c r="AU55" i="3"/>
  <c r="E36" i="1"/>
  <c r="AS56" i="3"/>
  <c r="C38" i="1"/>
  <c r="AS57" i="3"/>
  <c r="C39" i="1"/>
  <c r="G195" i="9"/>
  <c r="H43" i="6"/>
  <c r="T42" i="6"/>
  <c r="N14" i="6"/>
  <c r="G13" i="4" s="1"/>
  <c r="L50" i="6"/>
  <c r="E28" i="4"/>
  <c r="Z28" i="4" s="1"/>
  <c r="O51" i="6"/>
  <c r="M32" i="6"/>
  <c r="F40" i="4" s="1"/>
  <c r="F38" i="4"/>
  <c r="U59" i="6"/>
  <c r="Q32" i="6"/>
  <c r="AD56" i="6"/>
  <c r="G21" i="1"/>
  <c r="H26" i="7"/>
  <c r="AB26" i="7" s="1"/>
  <c r="N266" i="4" s="1"/>
  <c r="H35" i="7"/>
  <c r="AV55" i="3"/>
  <c r="F36" i="1"/>
  <c r="AT56" i="3"/>
  <c r="D38" i="1"/>
  <c r="AT57" i="3"/>
  <c r="D39" i="1"/>
  <c r="J58" i="3"/>
  <c r="R58" i="3"/>
  <c r="Z58" i="3"/>
  <c r="AH58" i="3"/>
  <c r="AQ33" i="3"/>
  <c r="P50" i="4"/>
  <c r="P311" i="4" s="1"/>
  <c r="I43" i="6"/>
  <c r="U42" i="6"/>
  <c r="V43" i="6"/>
  <c r="E34" i="15"/>
  <c r="M50" i="6"/>
  <c r="F28" i="4"/>
  <c r="AA28" i="4" s="1"/>
  <c r="P51" i="6"/>
  <c r="K23" i="6"/>
  <c r="N31" i="6"/>
  <c r="G39" i="4" s="1"/>
  <c r="S32" i="6"/>
  <c r="L40" i="4" s="1"/>
  <c r="AD41" i="6"/>
  <c r="O50" i="6"/>
  <c r="D13" i="1"/>
  <c r="F20" i="1"/>
  <c r="AW55" i="3"/>
  <c r="G36" i="1"/>
  <c r="AU56" i="3"/>
  <c r="E38" i="1"/>
  <c r="AU57" i="3"/>
  <c r="E39" i="1"/>
  <c r="I24" i="3"/>
  <c r="I34" i="3" s="1"/>
  <c r="I38" i="3" s="1"/>
  <c r="I42" i="3" s="1"/>
  <c r="I44" i="3" s="1"/>
  <c r="AS23" i="3"/>
  <c r="C53" i="1" s="1"/>
  <c r="Y24" i="3"/>
  <c r="AG24" i="3"/>
  <c r="J60" i="4" s="1"/>
  <c r="K14" i="6"/>
  <c r="D13" i="4" s="1"/>
  <c r="D11" i="4"/>
  <c r="Y11" i="4" s="1"/>
  <c r="AB14" i="6"/>
  <c r="AB43" i="6" s="1"/>
  <c r="R50" i="6"/>
  <c r="Q51" i="6"/>
  <c r="Q52" i="6"/>
  <c r="F30" i="4"/>
  <c r="P42" i="6"/>
  <c r="V59" i="6"/>
  <c r="V60" i="6"/>
  <c r="C17" i="7"/>
  <c r="E35" i="7"/>
  <c r="AS31" i="2"/>
  <c r="AV56" i="3"/>
  <c r="F38" i="1"/>
  <c r="AV57" i="3"/>
  <c r="F39" i="1"/>
  <c r="D24" i="3"/>
  <c r="D34" i="3" s="1"/>
  <c r="D38" i="3" s="1"/>
  <c r="D42" i="3" s="1"/>
  <c r="D44" i="3" s="1"/>
  <c r="J24" i="3"/>
  <c r="J34" i="3" s="1"/>
  <c r="J38" i="3" s="1"/>
  <c r="J42" i="3" s="1"/>
  <c r="J44" i="3" s="1"/>
  <c r="R24" i="3"/>
  <c r="R34" i="3" s="1"/>
  <c r="R38" i="3" s="1"/>
  <c r="R42" i="3" s="1"/>
  <c r="R44" i="3" s="1"/>
  <c r="Z24" i="3"/>
  <c r="AH24" i="3"/>
  <c r="K60" i="4" s="1"/>
  <c r="AP33" i="3"/>
  <c r="AT33" i="3"/>
  <c r="D71" i="1" s="1"/>
  <c r="P41" i="6"/>
  <c r="E11" i="4"/>
  <c r="Z11" i="4" s="1"/>
  <c r="W23" i="6"/>
  <c r="P28" i="4"/>
  <c r="D24" i="13" s="1"/>
  <c r="D62" i="13" s="1"/>
  <c r="R52" i="6"/>
  <c r="P32" i="6"/>
  <c r="I40" i="4" s="1"/>
  <c r="K39" i="6"/>
  <c r="AV31" i="2"/>
  <c r="AX31" i="2"/>
  <c r="AX134" i="2"/>
  <c r="H84" i="1" s="1"/>
  <c r="AQ55" i="3"/>
  <c r="AW56" i="3"/>
  <c r="G38" i="1"/>
  <c r="AW57" i="3"/>
  <c r="G39" i="1"/>
  <c r="M58" i="3"/>
  <c r="U58" i="3"/>
  <c r="AV14" i="3"/>
  <c r="F41" i="1" s="1"/>
  <c r="AK58" i="3"/>
  <c r="AV23" i="3"/>
  <c r="F53" i="1" s="1"/>
  <c r="F45" i="1"/>
  <c r="AP23" i="3"/>
  <c r="AT23" i="3"/>
  <c r="D53" i="1" s="1"/>
  <c r="Q41" i="6"/>
  <c r="F11" i="4"/>
  <c r="AA11" i="4" s="1"/>
  <c r="O42" i="6"/>
  <c r="G21" i="6"/>
  <c r="G23" i="6" s="1"/>
  <c r="W51" i="6"/>
  <c r="AI23" i="6"/>
  <c r="Q59" i="6"/>
  <c r="AE59" i="6"/>
  <c r="AD32" i="6"/>
  <c r="M41" i="6"/>
  <c r="AD59" i="6"/>
  <c r="E25" i="7"/>
  <c r="X25" i="7" s="1"/>
  <c r="K263" i="4" s="1"/>
  <c r="G26" i="7"/>
  <c r="Z26" i="7" s="1"/>
  <c r="M266" i="4" s="1"/>
  <c r="G35" i="7"/>
  <c r="AE224" i="4"/>
  <c r="AD224" i="4"/>
  <c r="AC225" i="4"/>
  <c r="AC224" i="4"/>
  <c r="AH225" i="4"/>
  <c r="C75" i="7"/>
  <c r="C78" i="7" s="1"/>
  <c r="D75" i="7"/>
  <c r="D78" i="7" s="1"/>
  <c r="F75" i="7"/>
  <c r="F78" i="7" s="1"/>
  <c r="J78" i="7" s="1"/>
  <c r="AI263" i="4"/>
  <c r="AW25" i="8"/>
  <c r="AU18" i="8"/>
  <c r="E33" i="2"/>
  <c r="M33" i="2"/>
  <c r="U33" i="2"/>
  <c r="AC33" i="2"/>
  <c r="AK33" i="2"/>
  <c r="AX58" i="2"/>
  <c r="AX61" i="2"/>
  <c r="AW62" i="2"/>
  <c r="AV61" i="2"/>
  <c r="AH136" i="2"/>
  <c r="K93" i="4" s="1"/>
  <c r="Y65" i="4"/>
  <c r="AA68" i="4"/>
  <c r="AC71" i="4"/>
  <c r="AA76" i="4"/>
  <c r="AB65" i="4"/>
  <c r="AF71" i="4"/>
  <c r="Z74" i="4"/>
  <c r="AG276" i="4"/>
  <c r="P277" i="4"/>
  <c r="AB276" i="4"/>
  <c r="AC276" i="4"/>
  <c r="Z65" i="4"/>
  <c r="AF74" i="4"/>
  <c r="AD276" i="4"/>
  <c r="AA65" i="4"/>
  <c r="AC68" i="4"/>
  <c r="Y74" i="4"/>
  <c r="AE276" i="4"/>
  <c r="AI276" i="4"/>
  <c r="AF276" i="4"/>
  <c r="G54" i="7"/>
  <c r="F70" i="10" s="1"/>
  <c r="G75" i="7"/>
  <c r="G84" i="7" s="1"/>
  <c r="H75" i="7"/>
  <c r="H84" i="7" s="1"/>
  <c r="F72" i="7"/>
  <c r="F230" i="7" s="1"/>
  <c r="G72" i="7"/>
  <c r="G230" i="7" s="1"/>
  <c r="H72" i="7"/>
  <c r="H230" i="7" s="1"/>
  <c r="D46" i="7"/>
  <c r="H255" i="1" s="1"/>
  <c r="Q33" i="2"/>
  <c r="AG33" i="2"/>
  <c r="AP40" i="2"/>
  <c r="L139" i="2"/>
  <c r="AQ62" i="2"/>
  <c r="H33" i="2"/>
  <c r="AF33" i="2"/>
  <c r="AU8" i="2"/>
  <c r="AT17" i="2"/>
  <c r="AW93" i="2"/>
  <c r="P33" i="2"/>
  <c r="AV10" i="2"/>
  <c r="AW11" i="2"/>
  <c r="Y27" i="7"/>
  <c r="L267" i="4" s="1"/>
  <c r="AV8" i="2"/>
  <c r="J33" i="2"/>
  <c r="R33" i="2"/>
  <c r="Z33" i="2"/>
  <c r="AH33" i="2"/>
  <c r="AT19" i="2"/>
  <c r="AJ139" i="2"/>
  <c r="Y141" i="2"/>
  <c r="AX10" i="2"/>
  <c r="C33" i="2"/>
  <c r="K33" i="2"/>
  <c r="S33" i="2"/>
  <c r="AI33" i="2"/>
  <c r="AB141" i="2"/>
  <c r="AJ141" i="2"/>
  <c r="AV62" i="2"/>
  <c r="AV11" i="2"/>
  <c r="X31" i="2"/>
  <c r="AU31" i="2" s="1"/>
  <c r="AJ136" i="2"/>
  <c r="M93" i="4" s="1"/>
  <c r="AU11" i="2"/>
  <c r="AK136" i="2"/>
  <c r="N93" i="4" s="1"/>
  <c r="AX62" i="2"/>
  <c r="AR42" i="2"/>
  <c r="AW10" i="2"/>
  <c r="X29" i="2"/>
  <c r="AU29" i="2" s="1"/>
  <c r="AR19" i="2"/>
  <c r="AS94" i="2"/>
  <c r="AL136" i="2"/>
  <c r="O93" i="4" s="1"/>
  <c r="AX128" i="2"/>
  <c r="H78" i="1" s="1"/>
  <c r="U25" i="7"/>
  <c r="H263" i="4" s="1"/>
  <c r="AD25" i="7"/>
  <c r="J75" i="7" s="1"/>
  <c r="G216" i="1"/>
  <c r="G218" i="1"/>
  <c r="G219" i="1" s="1"/>
  <c r="AD202" i="4"/>
  <c r="AC76" i="4"/>
  <c r="AE205" i="4"/>
  <c r="AF68" i="4"/>
  <c r="Z71" i="4"/>
  <c r="AF76" i="4"/>
  <c r="Z77" i="4"/>
  <c r="AI202" i="4"/>
  <c r="AE202" i="4"/>
  <c r="AC65" i="4"/>
  <c r="AE68" i="4"/>
  <c r="AI68" i="4"/>
  <c r="Y71" i="4"/>
  <c r="AJ71" i="4"/>
  <c r="AG71" i="4"/>
  <c r="AA74" i="4"/>
  <c r="AI76" i="4"/>
  <c r="AE76" i="4"/>
  <c r="AE25" i="8"/>
  <c r="AD65" i="4"/>
  <c r="AB74" i="4"/>
  <c r="AU25" i="8"/>
  <c r="AX25" i="8"/>
  <c r="AI65" i="4"/>
  <c r="AE65" i="4"/>
  <c r="Y68" i="4"/>
  <c r="AJ68" i="4"/>
  <c r="AG68" i="4"/>
  <c r="AA71" i="4"/>
  <c r="AC74" i="4"/>
  <c r="Y76" i="4"/>
  <c r="AJ76" i="4"/>
  <c r="AG76" i="4"/>
  <c r="AF65" i="4"/>
  <c r="Z68" i="4"/>
  <c r="AB71" i="4"/>
  <c r="AD74" i="4"/>
  <c r="Z76" i="4"/>
  <c r="AD68" i="4"/>
  <c r="AJ65" i="4"/>
  <c r="AG65" i="4"/>
  <c r="AI74" i="4"/>
  <c r="AE74" i="4"/>
  <c r="AV25" i="8"/>
  <c r="AB68" i="4"/>
  <c r="AD71" i="4"/>
  <c r="AB76" i="4"/>
  <c r="AD77" i="4"/>
  <c r="G5" i="8"/>
  <c r="AD76" i="4"/>
  <c r="AE71" i="4"/>
  <c r="AI71" i="4"/>
  <c r="AG74" i="4"/>
  <c r="AX18" i="8"/>
  <c r="C102" i="7"/>
  <c r="C103" i="7"/>
  <c r="B97" i="7"/>
  <c r="B98" i="7" s="1"/>
  <c r="AX92" i="2"/>
  <c r="AX17" i="2"/>
  <c r="J139" i="2"/>
  <c r="R139" i="2"/>
  <c r="Z139" i="2"/>
  <c r="AH139" i="2"/>
  <c r="AX19" i="2"/>
  <c r="AS62" i="2"/>
  <c r="AU62" i="2"/>
  <c r="AS93" i="2"/>
  <c r="AU93" i="2"/>
  <c r="AP8" i="2"/>
  <c r="AR8" i="2"/>
  <c r="AT8" i="2"/>
  <c r="AX8" i="2"/>
  <c r="AU10" i="2"/>
  <c r="AV17" i="2"/>
  <c r="AV19" i="2"/>
  <c r="AT42" i="2"/>
  <c r="AP58" i="2"/>
  <c r="AW61" i="2"/>
  <c r="AP63" i="2"/>
  <c r="AR63" i="2"/>
  <c r="AT63" i="2"/>
  <c r="AX63" i="2"/>
  <c r="AX86" i="2"/>
  <c r="AV92" i="2"/>
  <c r="AQ93" i="2"/>
  <c r="AX11" i="2"/>
  <c r="M139" i="2"/>
  <c r="U139" i="2"/>
  <c r="AC139" i="2"/>
  <c r="AK139" i="2"/>
  <c r="AU35" i="2"/>
  <c r="M47" i="2"/>
  <c r="AR47" i="2" s="1"/>
  <c r="AQ49" i="2"/>
  <c r="AW49" i="2"/>
  <c r="AE136" i="2"/>
  <c r="H93" i="4" s="1"/>
  <c r="AQ8" i="2"/>
  <c r="AS8" i="2"/>
  <c r="AW8" i="2"/>
  <c r="F33" i="2"/>
  <c r="N33" i="2"/>
  <c r="V33" i="2"/>
  <c r="AD33" i="2"/>
  <c r="AS42" i="2"/>
  <c r="AW47" i="2"/>
  <c r="AU49" i="2"/>
  <c r="AT62" i="2"/>
  <c r="AV63" i="2"/>
  <c r="AV81" i="2" s="1"/>
  <c r="F94" i="1" s="1"/>
  <c r="AP93" i="2"/>
  <c r="AR93" i="2"/>
  <c r="AT93" i="2"/>
  <c r="AV93" i="2"/>
  <c r="AX93" i="2"/>
  <c r="AF136" i="2"/>
  <c r="I93" i="4" s="1"/>
  <c r="AW17" i="2"/>
  <c r="AW19" i="2"/>
  <c r="AP42" i="2"/>
  <c r="AQ81" i="2"/>
  <c r="AS81" i="2"/>
  <c r="C94" i="1" s="1"/>
  <c r="AU63" i="2"/>
  <c r="AM81" i="2"/>
  <c r="P138" i="4" s="1"/>
  <c r="AW92" i="2"/>
  <c r="AG136" i="2"/>
  <c r="J93" i="4" s="1"/>
  <c r="AP17" i="2"/>
  <c r="AP19" i="2"/>
  <c r="AX40" i="2"/>
  <c r="AX42" i="2"/>
  <c r="AP62" i="2"/>
  <c r="AR62" i="2"/>
  <c r="AI136" i="2"/>
  <c r="L93" i="4" s="1"/>
  <c r="AA52" i="6"/>
  <c r="N37" i="6"/>
  <c r="J37" i="6"/>
  <c r="M43" i="6"/>
  <c r="N47" i="6"/>
  <c r="J47" i="6"/>
  <c r="N49" i="6"/>
  <c r="J49" i="6"/>
  <c r="N39" i="6"/>
  <c r="J39" i="6"/>
  <c r="Q43" i="6"/>
  <c r="T59" i="6"/>
  <c r="L23" i="6"/>
  <c r="E30" i="4" s="1"/>
  <c r="K37" i="6"/>
  <c r="L41" i="6"/>
  <c r="W42" i="6"/>
  <c r="K49" i="6"/>
  <c r="V50" i="6"/>
  <c r="R13" i="6"/>
  <c r="K12" i="4" s="1"/>
  <c r="AA50" i="6"/>
  <c r="S51" i="6"/>
  <c r="W50" i="6"/>
  <c r="R51" i="6"/>
  <c r="M52" i="6"/>
  <c r="F17" i="6"/>
  <c r="F21" i="6" s="1"/>
  <c r="F23" i="6" s="1"/>
  <c r="V41" i="6"/>
  <c r="L43" i="6"/>
  <c r="H50" i="6"/>
  <c r="W41" i="6"/>
  <c r="I50" i="6"/>
  <c r="AB50" i="6"/>
  <c r="J17" i="6"/>
  <c r="AE32" i="6"/>
  <c r="H41" i="6"/>
  <c r="AA41" i="6"/>
  <c r="AC50" i="6"/>
  <c r="AC22" i="6"/>
  <c r="F21" i="1" s="1"/>
  <c r="I41" i="6"/>
  <c r="R59" i="6"/>
  <c r="AC13" i="6"/>
  <c r="AD42" i="6" s="1"/>
  <c r="AL34" i="3"/>
  <c r="O80" i="4" s="1"/>
  <c r="O81" i="4" s="1"/>
  <c r="AX43" i="3"/>
  <c r="H112" i="1" s="1"/>
  <c r="AX27" i="3"/>
  <c r="H59" i="1" s="1"/>
  <c r="AX19" i="3"/>
  <c r="H49" i="1" s="1"/>
  <c r="AX14" i="3"/>
  <c r="H41" i="1" s="1"/>
  <c r="AX37" i="3"/>
  <c r="H106" i="1" s="1"/>
  <c r="AX31" i="3"/>
  <c r="H69" i="1" s="1"/>
  <c r="AX29" i="3"/>
  <c r="H65" i="1" s="1"/>
  <c r="AX11" i="3"/>
  <c r="AX23" i="3"/>
  <c r="H53" i="1" s="1"/>
  <c r="AX22" i="3"/>
  <c r="H52" i="1" s="1"/>
  <c r="I52" i="1" s="1"/>
  <c r="J52" i="1" s="1"/>
  <c r="K52" i="1" s="1"/>
  <c r="L52" i="1" s="1"/>
  <c r="M52" i="1" s="1"/>
  <c r="N52" i="1" s="1"/>
  <c r="O52" i="1" s="1"/>
  <c r="AX36" i="3"/>
  <c r="H105" i="1" s="1"/>
  <c r="AX28" i="3"/>
  <c r="H62" i="1" s="1"/>
  <c r="AX21" i="3"/>
  <c r="H51" i="1" s="1"/>
  <c r="H281" i="1" s="1"/>
  <c r="AX20" i="3"/>
  <c r="H50" i="1" s="1"/>
  <c r="AX17" i="3"/>
  <c r="H45" i="1" s="1"/>
  <c r="AX39" i="3"/>
  <c r="H108" i="1" s="1"/>
  <c r="AX33" i="3"/>
  <c r="H71" i="1" s="1"/>
  <c r="AX32" i="3"/>
  <c r="H70" i="1" s="1"/>
  <c r="AX30" i="3"/>
  <c r="H68" i="1" s="1"/>
  <c r="AX13" i="3"/>
  <c r="H40" i="1" s="1"/>
  <c r="H275" i="1" s="1"/>
  <c r="H279" i="1" s="1"/>
  <c r="AX12" i="3"/>
  <c r="AX9" i="3"/>
  <c r="AQ14" i="3"/>
  <c r="L24" i="3"/>
  <c r="T24" i="3"/>
  <c r="AB24" i="3"/>
  <c r="E60" i="4" s="1"/>
  <c r="E78" i="4" s="1"/>
  <c r="AJ24" i="3"/>
  <c r="M60" i="4" s="1"/>
  <c r="M140" i="4" s="1"/>
  <c r="K58" i="3"/>
  <c r="S58" i="3"/>
  <c r="AA58" i="3"/>
  <c r="AI58" i="3"/>
  <c r="AR14" i="3"/>
  <c r="AU23" i="3"/>
  <c r="E53" i="1" s="1"/>
  <c r="M24" i="3"/>
  <c r="U24" i="3"/>
  <c r="AC24" i="3"/>
  <c r="F60" i="4" s="1"/>
  <c r="F61" i="4" s="1"/>
  <c r="AK24" i="3"/>
  <c r="N60" i="4" s="1"/>
  <c r="N140" i="4" s="1"/>
  <c r="AS14" i="3"/>
  <c r="N24" i="3"/>
  <c r="V24" i="3"/>
  <c r="AD24" i="3"/>
  <c r="G60" i="4" s="1"/>
  <c r="AC58" i="3"/>
  <c r="AT14" i="3"/>
  <c r="D41" i="1" s="1"/>
  <c r="G24" i="3"/>
  <c r="O24" i="3"/>
  <c r="W24" i="3"/>
  <c r="AE24" i="3"/>
  <c r="H60" i="4" s="1"/>
  <c r="AM24" i="3"/>
  <c r="P60" i="4" s="1"/>
  <c r="AL58" i="3"/>
  <c r="E5" i="3"/>
  <c r="AU14" i="3"/>
  <c r="H24" i="3"/>
  <c r="P24" i="3"/>
  <c r="X24" i="3"/>
  <c r="AF24" i="3"/>
  <c r="I60" i="4" s="1"/>
  <c r="AQ23" i="3"/>
  <c r="Q24" i="3"/>
  <c r="AW14" i="3"/>
  <c r="AP14" i="3"/>
  <c r="AP29" i="2"/>
  <c r="K139" i="2"/>
  <c r="AR29" i="2"/>
  <c r="S139" i="2"/>
  <c r="AX29" i="2"/>
  <c r="G139" i="2"/>
  <c r="AQ29" i="2"/>
  <c r="O139" i="2"/>
  <c r="AS29" i="2"/>
  <c r="W139" i="2"/>
  <c r="H139" i="2"/>
  <c r="P139" i="2"/>
  <c r="AF139" i="2"/>
  <c r="AQ17" i="2"/>
  <c r="AQ19" i="2"/>
  <c r="AX35" i="2"/>
  <c r="H47" i="2"/>
  <c r="AQ47" i="2" s="1"/>
  <c r="AQ42" i="2"/>
  <c r="AU42" i="2"/>
  <c r="X47" i="2"/>
  <c r="AU47" i="2" s="1"/>
  <c r="AS58" i="2"/>
  <c r="AU58" i="2"/>
  <c r="AF141" i="2"/>
  <c r="AF89" i="2"/>
  <c r="AQ63" i="2"/>
  <c r="Y139" i="2"/>
  <c r="Y33" i="2"/>
  <c r="AA29" i="2"/>
  <c r="AA33" i="2" s="1"/>
  <c r="AG89" i="2"/>
  <c r="AG141" i="2"/>
  <c r="AX94" i="2"/>
  <c r="AW114" i="2"/>
  <c r="I139" i="2"/>
  <c r="AE141" i="2"/>
  <c r="AE89" i="2"/>
  <c r="AW81" i="2"/>
  <c r="AS17" i="2"/>
  <c r="AS19" i="2"/>
  <c r="T29" i="2"/>
  <c r="T139" i="2" s="1"/>
  <c r="G40" i="2"/>
  <c r="AQ40" i="2" s="1"/>
  <c r="AQ35" i="2"/>
  <c r="AS40" i="2"/>
  <c r="AU40" i="2"/>
  <c r="AW35" i="2"/>
  <c r="Z141" i="2"/>
  <c r="AH89" i="2"/>
  <c r="AJ89" i="2"/>
  <c r="J119" i="2"/>
  <c r="J116" i="2"/>
  <c r="J120" i="2" s="1"/>
  <c r="AI116" i="2"/>
  <c r="AM136" i="2"/>
  <c r="P93" i="4" s="1"/>
  <c r="AG139" i="2"/>
  <c r="AP35" i="2"/>
  <c r="AP47" i="2"/>
  <c r="AX47" i="2"/>
  <c r="AP94" i="2"/>
  <c r="AP114" i="2" s="1"/>
  <c r="AP116" i="2" s="1"/>
  <c r="AW136" i="2"/>
  <c r="G87" i="1" s="1"/>
  <c r="G101" i="1" s="1"/>
  <c r="AV114" i="2"/>
  <c r="AA116" i="2"/>
  <c r="AV116" i="2" s="1"/>
  <c r="F127" i="1" s="1"/>
  <c r="F130" i="1" s="1"/>
  <c r="E5" i="2"/>
  <c r="AU17" i="2"/>
  <c r="AU19" i="2"/>
  <c r="N139" i="2"/>
  <c r="V139" i="2"/>
  <c r="AD139" i="2"/>
  <c r="AL139" i="2"/>
  <c r="AR35" i="2"/>
  <c r="AT58" i="2"/>
  <c r="AC141" i="2"/>
  <c r="AX87" i="2"/>
  <c r="AR94" i="2"/>
  <c r="L114" i="2"/>
  <c r="L116" i="2" s="1"/>
  <c r="T114" i="2"/>
  <c r="T116" i="2" s="1"/>
  <c r="AT94" i="2"/>
  <c r="AL114" i="2"/>
  <c r="O120" i="4" s="1"/>
  <c r="Q139" i="2"/>
  <c r="I33" i="2"/>
  <c r="G116" i="2"/>
  <c r="AQ114" i="2"/>
  <c r="AL33" i="2"/>
  <c r="AE29" i="2"/>
  <c r="AE33" i="2" s="1"/>
  <c r="AS35" i="2"/>
  <c r="AK141" i="2"/>
  <c r="AK89" i="2"/>
  <c r="AM114" i="2"/>
  <c r="K116" i="2"/>
  <c r="W116" i="2"/>
  <c r="AU114" i="2"/>
  <c r="AU116" i="2" s="1"/>
  <c r="E127" i="1" s="1"/>
  <c r="AR40" i="2"/>
  <c r="AT40" i="2"/>
  <c r="AA40" i="2"/>
  <c r="AV35" i="2"/>
  <c r="AV40" i="2" s="1"/>
  <c r="AT35" i="2"/>
  <c r="M58" i="2"/>
  <c r="AR58" i="2" s="1"/>
  <c r="AR49" i="2"/>
  <c r="AL141" i="2"/>
  <c r="AL89" i="2"/>
  <c r="AV94" i="2"/>
  <c r="S116" i="2"/>
  <c r="AV42" i="2"/>
  <c r="AV47" i="2" s="1"/>
  <c r="AS49" i="2"/>
  <c r="AW63" i="2"/>
  <c r="C81" i="2"/>
  <c r="AP81" i="2" s="1"/>
  <c r="K81" i="2"/>
  <c r="AR81" i="2" s="1"/>
  <c r="S81" i="2"/>
  <c r="AT81" i="2" s="1"/>
  <c r="D94" i="1" s="1"/>
  <c r="AI81" i="2"/>
  <c r="L138" i="4" s="1"/>
  <c r="AM88" i="2"/>
  <c r="Q114" i="2"/>
  <c r="Q116" i="2" s="1"/>
  <c r="AS116" i="2" s="1"/>
  <c r="C127" i="1" s="1"/>
  <c r="AE40" i="2"/>
  <c r="AW40" i="2" s="1"/>
  <c r="AW42" i="2"/>
  <c r="T47" i="2"/>
  <c r="AT47" i="2" s="1"/>
  <c r="AT49" i="2"/>
  <c r="G58" i="2"/>
  <c r="AQ58" i="2" s="1"/>
  <c r="AE58" i="2"/>
  <c r="AW58" i="2" s="1"/>
  <c r="AU94" i="2"/>
  <c r="AV49" i="2"/>
  <c r="AV58" i="2" s="1"/>
  <c r="AD81" i="2"/>
  <c r="AD141" i="2" s="1"/>
  <c r="AW94" i="2"/>
  <c r="O47" i="2"/>
  <c r="AS47" i="2" s="1"/>
  <c r="AS63" i="2"/>
  <c r="W81" i="2"/>
  <c r="AU81" i="2" s="1"/>
  <c r="E94" i="1" s="1"/>
  <c r="AP49" i="2"/>
  <c r="AX49" i="2"/>
  <c r="AQ94" i="2"/>
  <c r="AE116" i="2"/>
  <c r="AW116" i="2" s="1"/>
  <c r="G127" i="1" s="1"/>
  <c r="G130" i="1" s="1"/>
  <c r="V27" i="7" l="1"/>
  <c r="I267" i="4" s="1"/>
  <c r="AF77" i="4"/>
  <c r="W27" i="7"/>
  <c r="J267" i="4" s="1"/>
  <c r="J268" i="4" s="1"/>
  <c r="J78" i="4"/>
  <c r="AB77" i="4"/>
  <c r="F195" i="9"/>
  <c r="L41" i="4"/>
  <c r="N41" i="4"/>
  <c r="O227" i="4"/>
  <c r="J94" i="4"/>
  <c r="L268" i="4"/>
  <c r="L270" i="4"/>
  <c r="L271" i="4" s="1"/>
  <c r="L286" i="4"/>
  <c r="L287" i="4" s="1"/>
  <c r="G17" i="4"/>
  <c r="AB17" i="4" s="1"/>
  <c r="F169" i="9" s="1"/>
  <c r="G204" i="4"/>
  <c r="G205" i="4" s="1"/>
  <c r="G14" i="4"/>
  <c r="G19" i="4"/>
  <c r="G223" i="4"/>
  <c r="G221" i="4"/>
  <c r="G222" i="4"/>
  <c r="L78" i="4"/>
  <c r="I195" i="9"/>
  <c r="H61" i="4"/>
  <c r="H66" i="4"/>
  <c r="H72" i="4"/>
  <c r="H279" i="4"/>
  <c r="H69" i="4"/>
  <c r="H96" i="4"/>
  <c r="H264" i="4"/>
  <c r="H285" i="4"/>
  <c r="H292" i="4"/>
  <c r="H293" i="4"/>
  <c r="H295" i="4"/>
  <c r="J286" i="4"/>
  <c r="J287" i="4" s="1"/>
  <c r="J96" i="4"/>
  <c r="J61" i="4"/>
  <c r="J69" i="4"/>
  <c r="J66" i="4"/>
  <c r="J72" i="4"/>
  <c r="J279" i="4"/>
  <c r="U61" i="6"/>
  <c r="J40" i="4"/>
  <c r="J41" i="4" s="1"/>
  <c r="K195" i="9"/>
  <c r="I78" i="4"/>
  <c r="G61" i="4"/>
  <c r="G69" i="4"/>
  <c r="G66" i="4"/>
  <c r="G72" i="4"/>
  <c r="G279" i="4"/>
  <c r="I96" i="4"/>
  <c r="I61" i="4"/>
  <c r="I69" i="4"/>
  <c r="I72" i="4"/>
  <c r="I279" i="4"/>
  <c r="I66" i="4"/>
  <c r="L145" i="4"/>
  <c r="L144" i="4" s="1"/>
  <c r="L94" i="4"/>
  <c r="I94" i="4"/>
  <c r="I268" i="4"/>
  <c r="I270" i="4"/>
  <c r="I271" i="4" s="1"/>
  <c r="I286" i="4"/>
  <c r="I287" i="4" s="1"/>
  <c r="K66" i="4"/>
  <c r="K61" i="4"/>
  <c r="K69" i="4"/>
  <c r="K72" i="4"/>
  <c r="K96" i="4"/>
  <c r="K279" i="4"/>
  <c r="L140" i="4"/>
  <c r="L178" i="4"/>
  <c r="L66" i="4"/>
  <c r="L61" i="4"/>
  <c r="L69" i="4"/>
  <c r="L96" i="4"/>
  <c r="L72" i="4"/>
  <c r="L279" i="4"/>
  <c r="H78" i="4"/>
  <c r="K252" i="4"/>
  <c r="K31" i="4"/>
  <c r="K78" i="4"/>
  <c r="N96" i="4"/>
  <c r="N178" i="4"/>
  <c r="N66" i="4"/>
  <c r="N72" i="4"/>
  <c r="N69" i="4"/>
  <c r="N61" i="4"/>
  <c r="N279" i="4"/>
  <c r="H94" i="4"/>
  <c r="AA77" i="4"/>
  <c r="N145" i="4"/>
  <c r="N144" i="4" s="1"/>
  <c r="N94" i="4"/>
  <c r="K94" i="4"/>
  <c r="K295" i="4"/>
  <c r="K264" i="4"/>
  <c r="E26" i="7"/>
  <c r="X26" i="7" s="1"/>
  <c r="K266" i="4" s="1"/>
  <c r="K29" i="4"/>
  <c r="M78" i="4"/>
  <c r="J195" i="9"/>
  <c r="O96" i="4"/>
  <c r="O145" i="4"/>
  <c r="O144" i="4" s="1"/>
  <c r="O94" i="4"/>
  <c r="J228" i="9" s="1"/>
  <c r="O92" i="4"/>
  <c r="O224" i="4"/>
  <c r="O225" i="4" s="1"/>
  <c r="O61" i="4"/>
  <c r="O66" i="4"/>
  <c r="O69" i="4"/>
  <c r="O178" i="4"/>
  <c r="O72" i="4"/>
  <c r="O279" i="4"/>
  <c r="O78" i="4"/>
  <c r="I41" i="4"/>
  <c r="AE77" i="4"/>
  <c r="M145" i="4"/>
  <c r="M144" i="4" s="1"/>
  <c r="M94" i="4"/>
  <c r="R61" i="6"/>
  <c r="K40" i="4"/>
  <c r="K41" i="4" s="1"/>
  <c r="O255" i="4"/>
  <c r="O31" i="4"/>
  <c r="M66" i="4"/>
  <c r="M72" i="4"/>
  <c r="M61" i="4"/>
  <c r="M178" i="4"/>
  <c r="M96" i="4"/>
  <c r="M69" i="4"/>
  <c r="M279" i="4"/>
  <c r="H37" i="7"/>
  <c r="G78" i="4"/>
  <c r="N78" i="4"/>
  <c r="T192" i="9"/>
  <c r="I99" i="1"/>
  <c r="I163" i="1" s="1"/>
  <c r="D141" i="10" s="1"/>
  <c r="J121" i="1"/>
  <c r="K121" i="1" s="1"/>
  <c r="L121" i="1" s="1"/>
  <c r="M121" i="1" s="1"/>
  <c r="N121" i="1" s="1"/>
  <c r="O121" i="1" s="1"/>
  <c r="P140" i="4"/>
  <c r="P178" i="4"/>
  <c r="J123" i="1"/>
  <c r="J98" i="1" s="1"/>
  <c r="S116" i="4"/>
  <c r="S142" i="4" s="1"/>
  <c r="D37" i="13"/>
  <c r="D74" i="13" s="1"/>
  <c r="P145" i="4"/>
  <c r="P144" i="4" s="1"/>
  <c r="S144" i="4" s="1"/>
  <c r="S114" i="4"/>
  <c r="S143" i="4" s="1"/>
  <c r="S152" i="4" s="1"/>
  <c r="D16" i="15"/>
  <c r="H166" i="1"/>
  <c r="AW89" i="2"/>
  <c r="G94" i="1"/>
  <c r="C22" i="17"/>
  <c r="I112" i="1"/>
  <c r="J112" i="1" s="1"/>
  <c r="K112" i="1" s="1"/>
  <c r="L112" i="1" s="1"/>
  <c r="M112" i="1" s="1"/>
  <c r="N112" i="1" s="1"/>
  <c r="O112" i="1" s="1"/>
  <c r="W195" i="4"/>
  <c r="AN195" i="4" s="1"/>
  <c r="K26" i="17"/>
  <c r="U12" i="4"/>
  <c r="AL13" i="4"/>
  <c r="V204" i="4"/>
  <c r="V205" i="4" s="1"/>
  <c r="AM13" i="4"/>
  <c r="Q194" i="9"/>
  <c r="U194" i="9"/>
  <c r="Q190" i="9"/>
  <c r="U190" i="9"/>
  <c r="Q192" i="9"/>
  <c r="U192" i="9"/>
  <c r="Q189" i="9"/>
  <c r="U189" i="9"/>
  <c r="Q191" i="9"/>
  <c r="U191" i="9"/>
  <c r="I42" i="7"/>
  <c r="H533" i="7" s="1"/>
  <c r="I533" i="7" s="1"/>
  <c r="H54" i="7"/>
  <c r="G70" i="10" s="1"/>
  <c r="H46" i="7"/>
  <c r="L255" i="1" s="1"/>
  <c r="J84" i="7"/>
  <c r="D328" i="7" s="1"/>
  <c r="K76" i="7"/>
  <c r="H470" i="9"/>
  <c r="F253" i="1"/>
  <c r="C435" i="9"/>
  <c r="C24" i="13"/>
  <c r="C62" i="13" s="1"/>
  <c r="H254" i="1"/>
  <c r="R12" i="4"/>
  <c r="C115" i="7"/>
  <c r="Q263" i="4"/>
  <c r="AE27" i="7"/>
  <c r="Q267" i="4" s="1"/>
  <c r="E19" i="4"/>
  <c r="E17" i="4"/>
  <c r="Q21" i="4" s="1"/>
  <c r="I282" i="9"/>
  <c r="I283" i="9" s="1"/>
  <c r="G282" i="9"/>
  <c r="G283" i="9" s="1"/>
  <c r="E48" i="9"/>
  <c r="P96" i="4"/>
  <c r="U230" i="7"/>
  <c r="F441" i="7"/>
  <c r="F476" i="7" s="1"/>
  <c r="F499" i="7" s="1"/>
  <c r="F504" i="7" s="1"/>
  <c r="W230" i="7"/>
  <c r="H441" i="7"/>
  <c r="H476" i="7" s="1"/>
  <c r="H499" i="7" s="1"/>
  <c r="H504" i="7" s="1"/>
  <c r="V230" i="7"/>
  <c r="G441" i="7"/>
  <c r="G476" i="7" s="1"/>
  <c r="G499" i="7" s="1"/>
  <c r="G504" i="7" s="1"/>
  <c r="G230" i="1"/>
  <c r="G234" i="1"/>
  <c r="AG311" i="4"/>
  <c r="AE311" i="4"/>
  <c r="AH311" i="4"/>
  <c r="AC311" i="4"/>
  <c r="AF311" i="4"/>
  <c r="D5" i="13"/>
  <c r="D53" i="13" s="1"/>
  <c r="P307" i="4"/>
  <c r="P308" i="4"/>
  <c r="AE263" i="4"/>
  <c r="AD263" i="4"/>
  <c r="AF263" i="4"/>
  <c r="D19" i="4"/>
  <c r="D17" i="4"/>
  <c r="AF17" i="4"/>
  <c r="J169" i="9" s="1"/>
  <c r="J150" i="9"/>
  <c r="P66" i="4"/>
  <c r="G284" i="1"/>
  <c r="G379" i="1"/>
  <c r="R43" i="6"/>
  <c r="AB52" i="6"/>
  <c r="E22" i="1"/>
  <c r="P69" i="4"/>
  <c r="F72" i="4"/>
  <c r="F69" i="4"/>
  <c r="D69" i="4"/>
  <c r="E72" i="4"/>
  <c r="E66" i="4"/>
  <c r="D66" i="4"/>
  <c r="P72" i="4"/>
  <c r="E69" i="4"/>
  <c r="D72" i="4"/>
  <c r="F66" i="4"/>
  <c r="P94" i="4"/>
  <c r="W61" i="6"/>
  <c r="AM116" i="2"/>
  <c r="AM121" i="2" s="1"/>
  <c r="P120" i="4"/>
  <c r="D46" i="13" s="1"/>
  <c r="D77" i="13" s="1"/>
  <c r="Z60" i="3"/>
  <c r="AL116" i="2"/>
  <c r="AX116" i="2" s="1"/>
  <c r="H127" i="1" s="1"/>
  <c r="H128" i="1" s="1"/>
  <c r="K41" i="6"/>
  <c r="K43" i="6"/>
  <c r="V12" i="4"/>
  <c r="S123" i="4"/>
  <c r="R110" i="4"/>
  <c r="F43" i="13" s="1"/>
  <c r="F78" i="4"/>
  <c r="P278" i="4"/>
  <c r="AK277" i="4"/>
  <c r="Y77" i="4"/>
  <c r="P78" i="4"/>
  <c r="V286" i="4"/>
  <c r="V252" i="4"/>
  <c r="U204" i="4"/>
  <c r="W244" i="4"/>
  <c r="AN247" i="4"/>
  <c r="AJ247" i="4"/>
  <c r="S244" i="4"/>
  <c r="H286" i="1"/>
  <c r="H256" i="1"/>
  <c r="C30" i="13"/>
  <c r="C69" i="13" s="1"/>
  <c r="R60" i="3"/>
  <c r="J214" i="1"/>
  <c r="J215" i="1" s="1"/>
  <c r="E69" i="10"/>
  <c r="AM139" i="2"/>
  <c r="H58" i="13"/>
  <c r="H13" i="13"/>
  <c r="N38" i="6"/>
  <c r="J12" i="6"/>
  <c r="N41" i="6" s="1"/>
  <c r="AI34" i="3"/>
  <c r="L80" i="4" s="1"/>
  <c r="L81" i="4" s="1"/>
  <c r="I60" i="3"/>
  <c r="C5" i="13"/>
  <c r="R204" i="4"/>
  <c r="AI204" i="4" s="1"/>
  <c r="E23" i="15" s="1"/>
  <c r="S141" i="2"/>
  <c r="D47" i="7"/>
  <c r="D67" i="7"/>
  <c r="R54" i="7"/>
  <c r="O43" i="6"/>
  <c r="H215" i="1"/>
  <c r="AA34" i="3"/>
  <c r="D80" i="4" s="1"/>
  <c r="D81" i="4" s="1"/>
  <c r="D61" i="4"/>
  <c r="I215" i="1"/>
  <c r="H221" i="1"/>
  <c r="H222" i="1" s="1"/>
  <c r="C14" i="13"/>
  <c r="K60" i="3"/>
  <c r="C84" i="7"/>
  <c r="K29" i="1"/>
  <c r="J31" i="1"/>
  <c r="K15" i="17" s="1"/>
  <c r="H260" i="1"/>
  <c r="E14" i="13"/>
  <c r="K211" i="1"/>
  <c r="L26" i="17" s="1"/>
  <c r="F14" i="13"/>
  <c r="F41" i="4"/>
  <c r="AG60" i="4"/>
  <c r="D7" i="13"/>
  <c r="P41" i="4"/>
  <c r="S40" i="4"/>
  <c r="F41" i="3"/>
  <c r="B37" i="7"/>
  <c r="J60" i="3"/>
  <c r="T61" i="6"/>
  <c r="AV24" i="3"/>
  <c r="F54" i="1" s="1"/>
  <c r="F55" i="1" s="1"/>
  <c r="AC77" i="4"/>
  <c r="L141" i="2"/>
  <c r="AB263" i="4"/>
  <c r="AX136" i="2"/>
  <c r="H87" i="1" s="1"/>
  <c r="AR58" i="3"/>
  <c r="E75" i="7"/>
  <c r="E84" i="7" s="1"/>
  <c r="U141" i="2"/>
  <c r="G270" i="1"/>
  <c r="F2" i="1"/>
  <c r="F300" i="1" s="1"/>
  <c r="E209" i="1"/>
  <c r="E240" i="1" s="1"/>
  <c r="F224" i="4"/>
  <c r="F225" i="4" s="1"/>
  <c r="AA60" i="4"/>
  <c r="E42" i="1"/>
  <c r="G42" i="1"/>
  <c r="F46" i="1"/>
  <c r="Z60" i="4"/>
  <c r="I136" i="4" s="1"/>
  <c r="Q61" i="6"/>
  <c r="X33" i="2"/>
  <c r="AU33" i="2" s="1"/>
  <c r="Q141" i="2"/>
  <c r="D72" i="1"/>
  <c r="H72" i="1"/>
  <c r="K52" i="6"/>
  <c r="AP24" i="3"/>
  <c r="AB27" i="7"/>
  <c r="N267" i="4" s="1"/>
  <c r="AB60" i="4"/>
  <c r="R60" i="6"/>
  <c r="AE61" i="6"/>
  <c r="H31" i="1"/>
  <c r="C66" i="10" s="1"/>
  <c r="P61" i="6"/>
  <c r="C37" i="7"/>
  <c r="AA30" i="4"/>
  <c r="E281" i="9" s="1"/>
  <c r="E282" i="9" s="1"/>
  <c r="E283" i="9" s="1"/>
  <c r="F31" i="4"/>
  <c r="D14" i="4"/>
  <c r="Y13" i="4"/>
  <c r="F37" i="7"/>
  <c r="S61" i="6"/>
  <c r="AF223" i="4"/>
  <c r="AF13" i="4"/>
  <c r="F42" i="1"/>
  <c r="AL38" i="3"/>
  <c r="O101" i="4" s="1"/>
  <c r="AU58" i="3"/>
  <c r="E41" i="1"/>
  <c r="E72" i="1" s="1"/>
  <c r="AX24" i="3"/>
  <c r="H54" i="1" s="1"/>
  <c r="H189" i="1" s="1"/>
  <c r="AF60" i="4"/>
  <c r="E61" i="4"/>
  <c r="AB30" i="4"/>
  <c r="F281" i="9" s="1"/>
  <c r="F282" i="9" s="1"/>
  <c r="F283" i="9" s="1"/>
  <c r="K50" i="6"/>
  <c r="AG11" i="4"/>
  <c r="P201" i="4"/>
  <c r="W43" i="6"/>
  <c r="C114" i="7"/>
  <c r="P13" i="4"/>
  <c r="E37" i="7"/>
  <c r="G46" i="1"/>
  <c r="AG34" i="3"/>
  <c r="J80" i="4" s="1"/>
  <c r="J81" i="4" s="1"/>
  <c r="AL60" i="3"/>
  <c r="V61" i="6"/>
  <c r="AP33" i="2"/>
  <c r="C116" i="7"/>
  <c r="D116" i="7" s="1"/>
  <c r="AC60" i="4"/>
  <c r="D30" i="4"/>
  <c r="O52" i="6"/>
  <c r="AB28" i="4"/>
  <c r="AF28" i="4"/>
  <c r="F227" i="4"/>
  <c r="AF11" i="4"/>
  <c r="AB11" i="4"/>
  <c r="AX57" i="3"/>
  <c r="H39" i="1"/>
  <c r="Y60" i="4"/>
  <c r="P61" i="4"/>
  <c r="AG28" i="4"/>
  <c r="P252" i="4"/>
  <c r="G37" i="7"/>
  <c r="C42" i="1"/>
  <c r="E223" i="4"/>
  <c r="E14" i="4"/>
  <c r="Z13" i="4"/>
  <c r="E221" i="4"/>
  <c r="E222" i="4"/>
  <c r="AW58" i="3"/>
  <c r="G41" i="1"/>
  <c r="G72" i="1" s="1"/>
  <c r="AX55" i="3"/>
  <c r="H36" i="1"/>
  <c r="X60" i="3"/>
  <c r="AS58" i="3"/>
  <c r="C41" i="1"/>
  <c r="C72" i="1" s="1"/>
  <c r="AH34" i="3"/>
  <c r="K80" i="4" s="1"/>
  <c r="K81" i="4" s="1"/>
  <c r="H282" i="1"/>
  <c r="C65" i="10" s="1"/>
  <c r="I275" i="1"/>
  <c r="I279" i="1" s="1"/>
  <c r="J29" i="17" s="1"/>
  <c r="E17" i="7"/>
  <c r="E31" i="4"/>
  <c r="Z30" i="4"/>
  <c r="D281" i="9" s="1"/>
  <c r="D282" i="9" s="1"/>
  <c r="D283" i="9" s="1"/>
  <c r="Z27" i="7"/>
  <c r="W52" i="6"/>
  <c r="AJ23" i="6"/>
  <c r="C112" i="7"/>
  <c r="P30" i="4"/>
  <c r="AC43" i="6"/>
  <c r="E13" i="1"/>
  <c r="D37" i="7"/>
  <c r="F14" i="4"/>
  <c r="D42" i="1"/>
  <c r="AX56" i="3"/>
  <c r="H38" i="1"/>
  <c r="AD61" i="6"/>
  <c r="G31" i="1"/>
  <c r="AC42" i="6"/>
  <c r="F12" i="1"/>
  <c r="AE60" i="4"/>
  <c r="AF30" i="4"/>
  <c r="J281" i="9" s="1"/>
  <c r="J282" i="9" s="1"/>
  <c r="J283" i="9" s="1"/>
  <c r="AB13" i="4"/>
  <c r="F72" i="1"/>
  <c r="D46" i="1"/>
  <c r="E46" i="1"/>
  <c r="AE225" i="4"/>
  <c r="AD225" i="4"/>
  <c r="V141" i="2"/>
  <c r="AS33" i="2"/>
  <c r="R141" i="2"/>
  <c r="AE285" i="4"/>
  <c r="D84" i="7"/>
  <c r="P263" i="4"/>
  <c r="P295" i="4" s="1"/>
  <c r="F84" i="7"/>
  <c r="F79" i="7"/>
  <c r="F85" i="7" s="1"/>
  <c r="AC263" i="4"/>
  <c r="P279" i="4"/>
  <c r="AF277" i="4"/>
  <c r="AB277" i="4"/>
  <c r="AC277" i="4"/>
  <c r="AQ33" i="2"/>
  <c r="AM89" i="2"/>
  <c r="AB139" i="2"/>
  <c r="AM141" i="2"/>
  <c r="P141" i="2"/>
  <c r="AD277" i="4"/>
  <c r="AE277" i="4"/>
  <c r="AI277" i="4"/>
  <c r="AG277" i="4"/>
  <c r="P75" i="7"/>
  <c r="I218" i="1"/>
  <c r="E46" i="7"/>
  <c r="H78" i="7"/>
  <c r="B447" i="7" s="1"/>
  <c r="H76" i="7"/>
  <c r="G78" i="7"/>
  <c r="G76" i="7"/>
  <c r="W28" i="7"/>
  <c r="D79" i="7"/>
  <c r="V28" i="7"/>
  <c r="C79" i="7"/>
  <c r="U27" i="7"/>
  <c r="H267" i="4" s="1"/>
  <c r="B75" i="7"/>
  <c r="Y28" i="7"/>
  <c r="AR33" i="2"/>
  <c r="AR114" i="2"/>
  <c r="AW33" i="2"/>
  <c r="W141" i="2"/>
  <c r="O141" i="2"/>
  <c r="AX33" i="2"/>
  <c r="AQ116" i="2"/>
  <c r="N141" i="2"/>
  <c r="AR116" i="2"/>
  <c r="AS139" i="2"/>
  <c r="C46" i="7"/>
  <c r="H5" i="8"/>
  <c r="C104" i="7"/>
  <c r="T33" i="2"/>
  <c r="AT33" i="2" s="1"/>
  <c r="AH141" i="2"/>
  <c r="R42" i="6"/>
  <c r="V42" i="6"/>
  <c r="P52" i="6"/>
  <c r="L52" i="6"/>
  <c r="AD51" i="6"/>
  <c r="AC51" i="6"/>
  <c r="J46" i="6"/>
  <c r="J21" i="6"/>
  <c r="N46" i="6"/>
  <c r="AD60" i="3"/>
  <c r="AD34" i="3"/>
  <c r="G80" i="4" s="1"/>
  <c r="G81" i="4" s="1"/>
  <c r="U34" i="3"/>
  <c r="U38" i="3" s="1"/>
  <c r="U42" i="3" s="1"/>
  <c r="U44" i="3" s="1"/>
  <c r="U60" i="3"/>
  <c r="T34" i="3"/>
  <c r="T38" i="3" s="1"/>
  <c r="T42" i="3" s="1"/>
  <c r="T44" i="3" s="1"/>
  <c r="T60" i="3"/>
  <c r="H60" i="3"/>
  <c r="H34" i="3"/>
  <c r="H38" i="3" s="1"/>
  <c r="H42" i="3" s="1"/>
  <c r="H44" i="3" s="1"/>
  <c r="AM60" i="3"/>
  <c r="AM34" i="3"/>
  <c r="AT58" i="3"/>
  <c r="V34" i="3"/>
  <c r="V38" i="3" s="1"/>
  <c r="V42" i="3" s="1"/>
  <c r="V44" i="3" s="1"/>
  <c r="V60" i="3"/>
  <c r="M34" i="3"/>
  <c r="M38" i="3" s="1"/>
  <c r="M42" i="3" s="1"/>
  <c r="M44" i="3" s="1"/>
  <c r="M60" i="3"/>
  <c r="L34" i="3"/>
  <c r="L38" i="3" s="1"/>
  <c r="L42" i="3" s="1"/>
  <c r="L44" i="3" s="1"/>
  <c r="L60" i="3"/>
  <c r="K38" i="3"/>
  <c r="AB60" i="3"/>
  <c r="AB34" i="3"/>
  <c r="AE60" i="3"/>
  <c r="AE34" i="3"/>
  <c r="H80" i="4" s="1"/>
  <c r="H81" i="4" s="1"/>
  <c r="AW24" i="3"/>
  <c r="N34" i="3"/>
  <c r="N38" i="3" s="1"/>
  <c r="N42" i="3" s="1"/>
  <c r="N44" i="3" s="1"/>
  <c r="N60" i="3"/>
  <c r="AI60" i="3"/>
  <c r="AR24" i="3"/>
  <c r="AC60" i="3"/>
  <c r="AC34" i="3"/>
  <c r="W34" i="3"/>
  <c r="W60" i="3"/>
  <c r="AU24" i="3"/>
  <c r="E54" i="1" s="1"/>
  <c r="AP34" i="3"/>
  <c r="C38" i="3"/>
  <c r="AX58" i="3"/>
  <c r="AF60" i="3"/>
  <c r="AF34" i="3"/>
  <c r="I80" i="4" s="1"/>
  <c r="I81" i="4" s="1"/>
  <c r="F5" i="3"/>
  <c r="O34" i="3"/>
  <c r="AS24" i="3"/>
  <c r="O60" i="3"/>
  <c r="AQ58" i="3"/>
  <c r="AG60" i="3"/>
  <c r="AA60" i="3"/>
  <c r="AV58" i="3"/>
  <c r="S38" i="3"/>
  <c r="G34" i="3"/>
  <c r="G60" i="3"/>
  <c r="AQ24" i="3"/>
  <c r="AT24" i="3"/>
  <c r="D54" i="1" s="1"/>
  <c r="D55" i="1" s="1"/>
  <c r="Q34" i="3"/>
  <c r="Q38" i="3" s="1"/>
  <c r="Q42" i="3" s="1"/>
  <c r="Q44" i="3" s="1"/>
  <c r="Q60" i="3"/>
  <c r="P60" i="3"/>
  <c r="P34" i="3"/>
  <c r="P38" i="3" s="1"/>
  <c r="P42" i="3" s="1"/>
  <c r="P44" i="3" s="1"/>
  <c r="AK60" i="3"/>
  <c r="AK34" i="3"/>
  <c r="N80" i="4" s="1"/>
  <c r="N81" i="4" s="1"/>
  <c r="AJ60" i="3"/>
  <c r="AJ34" i="3"/>
  <c r="AH60" i="3"/>
  <c r="Y60" i="3"/>
  <c r="S60" i="3"/>
  <c r="AS114" i="2"/>
  <c r="M141" i="2"/>
  <c r="AX114" i="2"/>
  <c r="F5" i="2"/>
  <c r="AA139" i="2"/>
  <c r="AV29" i="2"/>
  <c r="AI139" i="2"/>
  <c r="AT116" i="2"/>
  <c r="D127" i="1" s="1"/>
  <c r="X139" i="2"/>
  <c r="AT29" i="2"/>
  <c r="AT139" i="2" s="1"/>
  <c r="AX81" i="2"/>
  <c r="AI141" i="2"/>
  <c r="AI89" i="2"/>
  <c r="AX89" i="2" s="1"/>
  <c r="AT114" i="2"/>
  <c r="AE139" i="2"/>
  <c r="AW29" i="2"/>
  <c r="AX139" i="2" s="1"/>
  <c r="AQ139" i="2"/>
  <c r="AR139" i="2"/>
  <c r="J270" i="4" l="1"/>
  <c r="J271" i="4" s="1"/>
  <c r="K136" i="4"/>
  <c r="X27" i="7"/>
  <c r="K267" i="4" s="1"/>
  <c r="K286" i="4" s="1"/>
  <c r="AB286" i="4" s="1"/>
  <c r="H297" i="4"/>
  <c r="I297" i="4" s="1"/>
  <c r="J297" i="4" s="1"/>
  <c r="D38" i="13"/>
  <c r="J136" i="4"/>
  <c r="K268" i="4"/>
  <c r="K270" i="4"/>
  <c r="K271" i="4" s="1"/>
  <c r="H298" i="4"/>
  <c r="I298" i="4" s="1"/>
  <c r="M80" i="4"/>
  <c r="AH80" i="4" s="1"/>
  <c r="O270" i="4"/>
  <c r="O271" i="4" s="1"/>
  <c r="O258" i="4"/>
  <c r="AF258" i="4" s="1"/>
  <c r="O286" i="4"/>
  <c r="O287" i="4" s="1"/>
  <c r="O256" i="4"/>
  <c r="I92" i="4"/>
  <c r="H92" i="4"/>
  <c r="N270" i="4"/>
  <c r="N271" i="4" s="1"/>
  <c r="N286" i="4"/>
  <c r="N287" i="4" s="1"/>
  <c r="N268" i="4"/>
  <c r="K92" i="4"/>
  <c r="H268" i="4"/>
  <c r="H286" i="4"/>
  <c r="H287" i="4" s="1"/>
  <c r="H270" i="4"/>
  <c r="H271" i="4" s="1"/>
  <c r="L92" i="4"/>
  <c r="G224" i="4"/>
  <c r="G225" i="4"/>
  <c r="N92" i="4"/>
  <c r="K253" i="4"/>
  <c r="K285" i="4"/>
  <c r="AF285" i="4" s="1"/>
  <c r="K256" i="4"/>
  <c r="G227" i="4"/>
  <c r="G79" i="7"/>
  <c r="G80" i="7" s="1"/>
  <c r="M267" i="4"/>
  <c r="H294" i="4"/>
  <c r="H299" i="4" s="1"/>
  <c r="H300" i="4"/>
  <c r="I300" i="4" s="1"/>
  <c r="J92" i="4"/>
  <c r="E530" i="9"/>
  <c r="N136" i="4"/>
  <c r="C3" i="9"/>
  <c r="H136" i="4"/>
  <c r="C530" i="9"/>
  <c r="L136" i="4"/>
  <c r="F530" i="9"/>
  <c r="O136" i="4"/>
  <c r="J42" i="7"/>
  <c r="J54" i="7" s="1"/>
  <c r="I70" i="10" s="1"/>
  <c r="J99" i="1"/>
  <c r="J163" i="1" s="1"/>
  <c r="E141" i="10" s="1"/>
  <c r="K123" i="1"/>
  <c r="L123" i="1" s="1"/>
  <c r="W116" i="4"/>
  <c r="W142" i="4" s="1"/>
  <c r="W114" i="4"/>
  <c r="W143" i="4" s="1"/>
  <c r="W152" i="4" s="1"/>
  <c r="I54" i="7"/>
  <c r="H70" i="10" s="1"/>
  <c r="I46" i="7"/>
  <c r="M255" i="1" s="1"/>
  <c r="D22" i="17"/>
  <c r="K99" i="1"/>
  <c r="K163" i="1" s="1"/>
  <c r="F141" i="10" s="1"/>
  <c r="W106" i="4"/>
  <c r="S106" i="4"/>
  <c r="G100" i="1"/>
  <c r="G102" i="1" s="1"/>
  <c r="AX90" i="2"/>
  <c r="H94" i="1"/>
  <c r="E22" i="17"/>
  <c r="H55" i="1"/>
  <c r="H96" i="1"/>
  <c r="C37" i="13"/>
  <c r="C74" i="13" s="1"/>
  <c r="H101" i="1"/>
  <c r="E55" i="1"/>
  <c r="D8" i="13"/>
  <c r="G530" i="9"/>
  <c r="C8" i="13"/>
  <c r="AD285" i="4"/>
  <c r="H67" i="7"/>
  <c r="G117" i="10" s="1"/>
  <c r="D228" i="9"/>
  <c r="G228" i="9"/>
  <c r="E228" i="9"/>
  <c r="K228" i="9"/>
  <c r="P136" i="4"/>
  <c r="I228" i="9"/>
  <c r="F228" i="9"/>
  <c r="C228" i="9"/>
  <c r="AG252" i="4"/>
  <c r="D3" i="9"/>
  <c r="G250" i="9"/>
  <c r="G251" i="9" s="1"/>
  <c r="G252" i="9" s="1"/>
  <c r="AH60" i="4"/>
  <c r="H530" i="9" s="1"/>
  <c r="L282" i="9"/>
  <c r="L283" i="9" s="1"/>
  <c r="F54" i="9"/>
  <c r="I3" i="9"/>
  <c r="L250" i="9"/>
  <c r="L251" i="9" s="1"/>
  <c r="L252" i="9" s="1"/>
  <c r="E3" i="9"/>
  <c r="H250" i="9"/>
  <c r="H251" i="9" s="1"/>
  <c r="H252" i="9" s="1"/>
  <c r="K3" i="9"/>
  <c r="N250" i="9"/>
  <c r="F3" i="9"/>
  <c r="I250" i="9"/>
  <c r="I251" i="9" s="1"/>
  <c r="I252" i="9" s="1"/>
  <c r="G3" i="9"/>
  <c r="J250" i="9"/>
  <c r="J251" i="9" s="1"/>
  <c r="J252" i="9" s="1"/>
  <c r="J3" i="9"/>
  <c r="M250" i="9"/>
  <c r="M251" i="9" s="1"/>
  <c r="M252" i="9" s="1"/>
  <c r="H261" i="1"/>
  <c r="H324" i="1"/>
  <c r="AG96" i="4"/>
  <c r="G225" i="9" s="1"/>
  <c r="Q268" i="4"/>
  <c r="E31" i="13"/>
  <c r="E70" i="13" s="1"/>
  <c r="Q286" i="4"/>
  <c r="AE26" i="7"/>
  <c r="Q266" i="4" s="1"/>
  <c r="Q295" i="4"/>
  <c r="Q264" i="4"/>
  <c r="AH263" i="4"/>
  <c r="Q285" i="4"/>
  <c r="E30" i="13"/>
  <c r="E69" i="13" s="1"/>
  <c r="AL263" i="4"/>
  <c r="AD96" i="4"/>
  <c r="D225" i="9" s="1"/>
  <c r="H282" i="9"/>
  <c r="H283" i="9" s="1"/>
  <c r="AE96" i="4"/>
  <c r="E225" i="9" s="1"/>
  <c r="AC96" i="4"/>
  <c r="C225" i="9" s="1"/>
  <c r="AF96" i="4"/>
  <c r="F225" i="9" s="1"/>
  <c r="H60" i="1"/>
  <c r="H90" i="1"/>
  <c r="D15" i="15" s="1"/>
  <c r="AD311" i="4"/>
  <c r="AF304" i="4"/>
  <c r="D30" i="13"/>
  <c r="D69" i="13" s="1"/>
  <c r="P19" i="4"/>
  <c r="K150" i="9" s="1"/>
  <c r="P20" i="4"/>
  <c r="D14" i="13"/>
  <c r="D59" i="13" s="1"/>
  <c r="P17" i="4"/>
  <c r="D26" i="13"/>
  <c r="D63" i="13" s="1"/>
  <c r="F48" i="9"/>
  <c r="H283" i="1"/>
  <c r="H379" i="1"/>
  <c r="E60" i="1"/>
  <c r="E66" i="1"/>
  <c r="E63" i="1"/>
  <c r="D60" i="1"/>
  <c r="D66" i="1"/>
  <c r="D63" i="1"/>
  <c r="F60" i="1"/>
  <c r="F63" i="1"/>
  <c r="F66" i="1"/>
  <c r="H66" i="1"/>
  <c r="H63" i="1"/>
  <c r="C46" i="13"/>
  <c r="C77" i="13" s="1"/>
  <c r="H130" i="1"/>
  <c r="H131" i="1" s="1"/>
  <c r="L99" i="1"/>
  <c r="L163" i="1" s="1"/>
  <c r="G141" i="10" s="1"/>
  <c r="Q63" i="4"/>
  <c r="T123" i="4"/>
  <c r="U123" i="4" s="1"/>
  <c r="V123" i="4" s="1"/>
  <c r="W123" i="4" s="1"/>
  <c r="I138" i="1"/>
  <c r="E66" i="10"/>
  <c r="W40" i="4"/>
  <c r="V255" i="4"/>
  <c r="AN244" i="4"/>
  <c r="W245" i="4"/>
  <c r="S201" i="4"/>
  <c r="S11" i="4" s="1"/>
  <c r="AJ11" i="4" s="1"/>
  <c r="T201" i="4"/>
  <c r="U205" i="4"/>
  <c r="AL204" i="4"/>
  <c r="V253" i="4"/>
  <c r="V28" i="4"/>
  <c r="AJ244" i="4"/>
  <c r="S245" i="4"/>
  <c r="T245" i="4"/>
  <c r="AM204" i="4"/>
  <c r="G20" i="13"/>
  <c r="G66" i="13" s="1"/>
  <c r="F56" i="1"/>
  <c r="E56" i="1"/>
  <c r="C53" i="13"/>
  <c r="H88" i="1"/>
  <c r="J11" i="1"/>
  <c r="I12" i="13" s="1"/>
  <c r="I58" i="13" s="1"/>
  <c r="AA38" i="3"/>
  <c r="AA42" i="3" s="1"/>
  <c r="J41" i="6"/>
  <c r="J14" i="6"/>
  <c r="J43" i="6" s="1"/>
  <c r="R205" i="4"/>
  <c r="AI205" i="4" s="1"/>
  <c r="K30" i="13"/>
  <c r="K69" i="13" s="1"/>
  <c r="AI38" i="3"/>
  <c r="X28" i="7"/>
  <c r="AV34" i="3"/>
  <c r="F74" i="1" s="1"/>
  <c r="F75" i="1" s="1"/>
  <c r="K214" i="1"/>
  <c r="K11" i="1" s="1"/>
  <c r="J12" i="13" s="1"/>
  <c r="F69" i="10"/>
  <c r="C67" i="7"/>
  <c r="G255" i="1"/>
  <c r="AE270" i="4"/>
  <c r="E67" i="7"/>
  <c r="D117" i="10" s="1"/>
  <c r="I255" i="1"/>
  <c r="AC285" i="4"/>
  <c r="D54" i="13"/>
  <c r="D9" i="13"/>
  <c r="F59" i="13"/>
  <c r="F16" i="13"/>
  <c r="C59" i="13"/>
  <c r="C16" i="13"/>
  <c r="E59" i="13"/>
  <c r="E16" i="13"/>
  <c r="T46" i="7"/>
  <c r="I67" i="7"/>
  <c r="H117" i="10" s="1"/>
  <c r="AE267" i="4"/>
  <c r="AF267" i="4"/>
  <c r="H363" i="1"/>
  <c r="C26" i="13"/>
  <c r="C28" i="13" s="1"/>
  <c r="L211" i="1"/>
  <c r="M26" i="17" s="1"/>
  <c r="N26" i="17" s="1"/>
  <c r="D115" i="7"/>
  <c r="E78" i="7"/>
  <c r="H292" i="1"/>
  <c r="C64" i="10" s="1"/>
  <c r="C297" i="9" s="1"/>
  <c r="H218" i="1"/>
  <c r="H219" i="1" s="1"/>
  <c r="AQ60" i="3"/>
  <c r="E79" i="7"/>
  <c r="I80" i="7" s="1"/>
  <c r="I76" i="7"/>
  <c r="Z28" i="7"/>
  <c r="Y80" i="4"/>
  <c r="D114" i="7"/>
  <c r="C7" i="13"/>
  <c r="S41" i="4"/>
  <c r="S39" i="4"/>
  <c r="L29" i="1"/>
  <c r="K31" i="1"/>
  <c r="AB267" i="4"/>
  <c r="Q205" i="4"/>
  <c r="AH205" i="4" s="1"/>
  <c r="D48" i="7"/>
  <c r="H263" i="1" s="1"/>
  <c r="AI267" i="4"/>
  <c r="D112" i="7"/>
  <c r="H79" i="7"/>
  <c r="H81" i="7" s="1"/>
  <c r="AB28" i="7"/>
  <c r="AD27" i="7" s="1"/>
  <c r="P267" i="4" s="1"/>
  <c r="D31" i="13" s="1"/>
  <c r="AT141" i="2"/>
  <c r="G2" i="1"/>
  <c r="F209" i="1"/>
  <c r="F240" i="1" s="1"/>
  <c r="F224" i="1"/>
  <c r="AT34" i="3"/>
  <c r="D74" i="1" s="1"/>
  <c r="D75" i="1" s="1"/>
  <c r="AM38" i="3"/>
  <c r="P80" i="4"/>
  <c r="AD38" i="3"/>
  <c r="G101" i="4" s="1"/>
  <c r="AF255" i="4"/>
  <c r="P255" i="4"/>
  <c r="P258" i="4" s="1"/>
  <c r="AG258" i="4" s="1"/>
  <c r="P31" i="4"/>
  <c r="AG30" i="4"/>
  <c r="K281" i="9" s="1"/>
  <c r="P253" i="4"/>
  <c r="P223" i="4"/>
  <c r="AG223" i="4" s="1"/>
  <c r="P222" i="4"/>
  <c r="P204" i="4"/>
  <c r="P221" i="4"/>
  <c r="AG13" i="4"/>
  <c r="P14" i="4"/>
  <c r="P304" i="4" s="1"/>
  <c r="AG304" i="4" s="1"/>
  <c r="AL42" i="3"/>
  <c r="O105" i="4" s="1"/>
  <c r="O148" i="4" s="1"/>
  <c r="O170" i="4" s="1"/>
  <c r="O180" i="4" s="1"/>
  <c r="AB205" i="4"/>
  <c r="AB204" i="4"/>
  <c r="AB201" i="4"/>
  <c r="AF201" i="4"/>
  <c r="I19" i="1"/>
  <c r="I40" i="1" s="1"/>
  <c r="J275" i="1"/>
  <c r="H42" i="1"/>
  <c r="AF224" i="4"/>
  <c r="H284" i="1"/>
  <c r="H270" i="1"/>
  <c r="H46" i="1"/>
  <c r="I46" i="1" s="1"/>
  <c r="J46" i="1" s="1"/>
  <c r="K46" i="1" s="1"/>
  <c r="L46" i="1" s="1"/>
  <c r="P202" i="4"/>
  <c r="AG202" i="4" s="1"/>
  <c r="AG201" i="4"/>
  <c r="AD60" i="4"/>
  <c r="AC80" i="4"/>
  <c r="D31" i="4"/>
  <c r="Y30" i="4"/>
  <c r="C281" i="9" s="1"/>
  <c r="C282" i="9" s="1"/>
  <c r="C283" i="9" s="1"/>
  <c r="AG38" i="3"/>
  <c r="J101" i="4" s="1"/>
  <c r="AV60" i="3"/>
  <c r="AB38" i="3"/>
  <c r="E80" i="4"/>
  <c r="E81" i="4" s="1"/>
  <c r="AB252" i="4"/>
  <c r="AF252" i="4"/>
  <c r="AF204" i="4"/>
  <c r="AF205" i="4"/>
  <c r="AF38" i="3"/>
  <c r="I101" i="4" s="1"/>
  <c r="AC38" i="3"/>
  <c r="F80" i="4"/>
  <c r="F81" i="4" s="1"/>
  <c r="AH38" i="3"/>
  <c r="K101" i="4" s="1"/>
  <c r="E224" i="4"/>
  <c r="E225" i="4" s="1"/>
  <c r="H224" i="1"/>
  <c r="C63" i="10" s="1"/>
  <c r="AF221" i="4"/>
  <c r="AW60" i="3"/>
  <c r="G54" i="1"/>
  <c r="AK38" i="3"/>
  <c r="N101" i="4" s="1"/>
  <c r="AS60" i="3"/>
  <c r="C54" i="1"/>
  <c r="AR34" i="3"/>
  <c r="E227" i="4"/>
  <c r="AF227" i="4"/>
  <c r="AF222" i="4"/>
  <c r="AR141" i="2"/>
  <c r="AX141" i="2"/>
  <c r="F81" i="7"/>
  <c r="AG263" i="4"/>
  <c r="P264" i="4"/>
  <c r="T263" i="4" s="1"/>
  <c r="P285" i="4"/>
  <c r="C48" i="7"/>
  <c r="G263" i="1" s="1"/>
  <c r="G378" i="1" s="1"/>
  <c r="AS141" i="2"/>
  <c r="P46" i="7"/>
  <c r="S263" i="4"/>
  <c r="G30" i="13" s="1"/>
  <c r="G69" i="13" s="1"/>
  <c r="I12" i="1"/>
  <c r="I221" i="1"/>
  <c r="B84" i="7"/>
  <c r="O75" i="7"/>
  <c r="J218" i="1"/>
  <c r="F87" i="7"/>
  <c r="F501" i="7" s="1"/>
  <c r="F46" i="7"/>
  <c r="J255" i="1" s="1"/>
  <c r="B78" i="7"/>
  <c r="F76" i="7"/>
  <c r="J76" i="7"/>
  <c r="D321" i="7" s="1"/>
  <c r="C81" i="7"/>
  <c r="C85" i="7"/>
  <c r="C87" i="7" s="1"/>
  <c r="C501" i="7" s="1"/>
  <c r="D81" i="7"/>
  <c r="D85" i="7"/>
  <c r="D87" i="7" s="1"/>
  <c r="D501" i="7" s="1"/>
  <c r="U28" i="7"/>
  <c r="B79" i="7"/>
  <c r="F80" i="7" s="1"/>
  <c r="M46" i="7"/>
  <c r="C47" i="7"/>
  <c r="O46" i="7"/>
  <c r="I5" i="8"/>
  <c r="C105" i="7"/>
  <c r="C110" i="7"/>
  <c r="T141" i="2"/>
  <c r="X141" i="2"/>
  <c r="J23" i="6"/>
  <c r="J50" i="6"/>
  <c r="N50" i="6"/>
  <c r="AJ38" i="3"/>
  <c r="M101" i="4" s="1"/>
  <c r="AX34" i="3"/>
  <c r="H74" i="1" s="1"/>
  <c r="H75" i="1" s="1"/>
  <c r="O38" i="3"/>
  <c r="AS34" i="3"/>
  <c r="C74" i="1" s="1"/>
  <c r="W38" i="3"/>
  <c r="Z34" i="3"/>
  <c r="Z38" i="3" s="1"/>
  <c r="Z42" i="3" s="1"/>
  <c r="Z44" i="3" s="1"/>
  <c r="K42" i="3"/>
  <c r="AR38" i="3"/>
  <c r="AP38" i="3"/>
  <c r="C42" i="3"/>
  <c r="AQ34" i="3"/>
  <c r="G38" i="3"/>
  <c r="AE38" i="3"/>
  <c r="H101" i="4" s="1"/>
  <c r="AW34" i="3"/>
  <c r="G74" i="1" s="1"/>
  <c r="G86" i="1" s="1"/>
  <c r="S42" i="3"/>
  <c r="AT38" i="3"/>
  <c r="D107" i="1" s="1"/>
  <c r="AR60" i="3"/>
  <c r="AT60" i="3"/>
  <c r="G5" i="3"/>
  <c r="AU60" i="3"/>
  <c r="AX60" i="3"/>
  <c r="AV139" i="2"/>
  <c r="AV33" i="2"/>
  <c r="AU139" i="2"/>
  <c r="AW139" i="2"/>
  <c r="G5" i="2"/>
  <c r="AU141" i="2"/>
  <c r="I292" i="4" l="1"/>
  <c r="D40" i="13"/>
  <c r="K42" i="7"/>
  <c r="K54" i="7" s="1"/>
  <c r="J70" i="10" s="1"/>
  <c r="AF270" i="4"/>
  <c r="J46" i="7"/>
  <c r="N255" i="1" s="1"/>
  <c r="H303" i="4"/>
  <c r="H313" i="4" s="1"/>
  <c r="AI42" i="3"/>
  <c r="L105" i="4" s="1"/>
  <c r="L148" i="4" s="1"/>
  <c r="L170" i="4" s="1"/>
  <c r="L180" i="4" s="1"/>
  <c r="L101" i="4"/>
  <c r="I293" i="4"/>
  <c r="J298" i="4"/>
  <c r="G85" i="7"/>
  <c r="G87" i="7" s="1"/>
  <c r="G501" i="7" s="1"/>
  <c r="J292" i="4"/>
  <c r="K297" i="4"/>
  <c r="G81" i="7"/>
  <c r="J300" i="4"/>
  <c r="I299" i="4"/>
  <c r="I294" i="4" s="1"/>
  <c r="K287" i="4"/>
  <c r="K98" i="1"/>
  <c r="M268" i="4"/>
  <c r="M286" i="4"/>
  <c r="M287" i="4" s="1"/>
  <c r="M270" i="4"/>
  <c r="M271" i="4" s="1"/>
  <c r="M81" i="4"/>
  <c r="M92" i="4"/>
  <c r="D530" i="9"/>
  <c r="M136" i="4"/>
  <c r="G96" i="1"/>
  <c r="G189" i="1"/>
  <c r="C38" i="13"/>
  <c r="C40" i="13" s="1"/>
  <c r="H100" i="1"/>
  <c r="H102" i="1" s="1"/>
  <c r="M123" i="1"/>
  <c r="L98" i="1"/>
  <c r="F22" i="17"/>
  <c r="G22" i="17" s="1"/>
  <c r="W275" i="4"/>
  <c r="J279" i="1"/>
  <c r="K29" i="17" s="1"/>
  <c r="G90" i="1"/>
  <c r="C15" i="15" s="1"/>
  <c r="G55" i="1"/>
  <c r="F66" i="10"/>
  <c r="F84" i="10" s="1"/>
  <c r="L15" i="17"/>
  <c r="Q136" i="4"/>
  <c r="E8" i="13"/>
  <c r="C537" i="7"/>
  <c r="C538" i="7"/>
  <c r="P217" i="4"/>
  <c r="P216" i="4"/>
  <c r="H228" i="9"/>
  <c r="V30" i="4"/>
  <c r="V258" i="4"/>
  <c r="C62" i="10"/>
  <c r="H378" i="1"/>
  <c r="C295" i="9" s="1"/>
  <c r="C60" i="10"/>
  <c r="C61" i="10" s="1"/>
  <c r="N251" i="9"/>
  <c r="N252" i="9" s="1"/>
  <c r="L3" i="9"/>
  <c r="O250" i="9"/>
  <c r="O251" i="9" s="1"/>
  <c r="H3" i="9"/>
  <c r="K250" i="9"/>
  <c r="K251" i="9" s="1"/>
  <c r="K252" i="9" s="1"/>
  <c r="C296" i="9"/>
  <c r="M254" i="9"/>
  <c r="H359" i="1"/>
  <c r="H357" i="1" s="1"/>
  <c r="H377" i="1" s="1"/>
  <c r="G300" i="1"/>
  <c r="G311" i="1"/>
  <c r="Q287" i="4"/>
  <c r="AH267" i="4"/>
  <c r="K282" i="9"/>
  <c r="K283" i="9" s="1"/>
  <c r="N43" i="6"/>
  <c r="D59" i="9"/>
  <c r="D58" i="9" s="1"/>
  <c r="D16" i="13"/>
  <c r="AG17" i="4"/>
  <c r="K169" i="9" s="1"/>
  <c r="P21" i="4"/>
  <c r="D28" i="13"/>
  <c r="E121" i="10"/>
  <c r="E84" i="10"/>
  <c r="I363" i="1"/>
  <c r="H380" i="1"/>
  <c r="D101" i="4"/>
  <c r="G60" i="1"/>
  <c r="G66" i="1"/>
  <c r="G63" i="1"/>
  <c r="C63" i="1"/>
  <c r="C66" i="1"/>
  <c r="D56" i="1"/>
  <c r="C60" i="1"/>
  <c r="M99" i="1"/>
  <c r="M163" i="1" s="1"/>
  <c r="H141" i="10" s="1"/>
  <c r="S202" i="4"/>
  <c r="AJ202" i="4" s="1"/>
  <c r="AJ201" i="4"/>
  <c r="V256" i="4"/>
  <c r="V270" i="4"/>
  <c r="V271" i="4" s="1"/>
  <c r="W41" i="4"/>
  <c r="W39" i="4"/>
  <c r="G12" i="13"/>
  <c r="G58" i="13" s="1"/>
  <c r="I139" i="1"/>
  <c r="J138" i="1"/>
  <c r="K138" i="1" s="1"/>
  <c r="L138" i="1" s="1"/>
  <c r="M138" i="1" s="1"/>
  <c r="N138" i="1" s="1"/>
  <c r="O138" i="1" s="1"/>
  <c r="V50" i="4"/>
  <c r="AL205" i="4"/>
  <c r="T11" i="4"/>
  <c r="T202" i="4"/>
  <c r="W201" i="4"/>
  <c r="AK263" i="4"/>
  <c r="W263" i="4"/>
  <c r="T267" i="4"/>
  <c r="T266" i="4" s="1"/>
  <c r="AM205" i="4"/>
  <c r="AG285" i="4"/>
  <c r="T285" i="4"/>
  <c r="H56" i="1"/>
  <c r="H92" i="1" s="1"/>
  <c r="G56" i="1"/>
  <c r="I13" i="13"/>
  <c r="D32" i="13"/>
  <c r="D70" i="13"/>
  <c r="K215" i="1"/>
  <c r="I30" i="13"/>
  <c r="I69" i="13" s="1"/>
  <c r="AV38" i="3"/>
  <c r="AV42" i="3" s="1"/>
  <c r="H30" i="13"/>
  <c r="H69" i="13" s="1"/>
  <c r="C109" i="7"/>
  <c r="D109" i="7" s="1"/>
  <c r="G256" i="1"/>
  <c r="G286" i="1"/>
  <c r="H287" i="1" s="1"/>
  <c r="H80" i="7"/>
  <c r="M211" i="1"/>
  <c r="H69" i="10" s="1"/>
  <c r="G69" i="10"/>
  <c r="C75" i="1"/>
  <c r="J58" i="13"/>
  <c r="J13" i="13"/>
  <c r="I292" i="1"/>
  <c r="I359" i="1" s="1"/>
  <c r="AC270" i="4"/>
  <c r="AG255" i="4"/>
  <c r="C21" i="15" s="1"/>
  <c r="P270" i="4"/>
  <c r="G75" i="1"/>
  <c r="AJ74" i="4"/>
  <c r="L214" i="1"/>
  <c r="L215" i="1" s="1"/>
  <c r="P92" i="4"/>
  <c r="S92" i="4" s="1"/>
  <c r="P81" i="4"/>
  <c r="C35" i="13"/>
  <c r="H86" i="1"/>
  <c r="C54" i="13"/>
  <c r="C9" i="13"/>
  <c r="U46" i="7"/>
  <c r="J67" i="7"/>
  <c r="I117" i="10" s="1"/>
  <c r="Q46" i="7"/>
  <c r="F67" i="7"/>
  <c r="E117" i="10" s="1"/>
  <c r="AG80" i="4"/>
  <c r="D35" i="13"/>
  <c r="D36" i="13" s="1"/>
  <c r="AD80" i="4"/>
  <c r="H264" i="1"/>
  <c r="C31" i="13"/>
  <c r="C70" i="13" s="1"/>
  <c r="AG267" i="4"/>
  <c r="P268" i="4"/>
  <c r="E85" i="7"/>
  <c r="E87" i="7" s="1"/>
  <c r="E501" i="7" s="1"/>
  <c r="E81" i="7"/>
  <c r="AE286" i="4"/>
  <c r="H85" i="7"/>
  <c r="AD267" i="4"/>
  <c r="AB80" i="4"/>
  <c r="D49" i="7"/>
  <c r="D50" i="7"/>
  <c r="H266" i="1"/>
  <c r="D55" i="7"/>
  <c r="AF286" i="4"/>
  <c r="J79" i="7"/>
  <c r="J80" i="7" s="1"/>
  <c r="AD26" i="7"/>
  <c r="P266" i="4" s="1"/>
  <c r="M29" i="1"/>
  <c r="L31" i="1"/>
  <c r="P286" i="4"/>
  <c r="AG286" i="4" s="1"/>
  <c r="P256" i="4"/>
  <c r="G266" i="1"/>
  <c r="G268" i="1" s="1"/>
  <c r="G264" i="1"/>
  <c r="H2" i="1"/>
  <c r="H300" i="1" s="1"/>
  <c r="G209" i="1"/>
  <c r="G240" i="1" s="1"/>
  <c r="P224" i="4"/>
  <c r="AG224" i="4" s="1"/>
  <c r="AF225" i="4"/>
  <c r="F229" i="1"/>
  <c r="G231" i="1" s="1"/>
  <c r="G225" i="1"/>
  <c r="H225" i="1"/>
  <c r="I224" i="1"/>
  <c r="D63" i="10" s="1"/>
  <c r="AI80" i="4"/>
  <c r="AE80" i="4"/>
  <c r="AK42" i="3"/>
  <c r="N105" i="4" s="1"/>
  <c r="N148" i="4" s="1"/>
  <c r="N170" i="4" s="1"/>
  <c r="N180" i="4" s="1"/>
  <c r="AH42" i="3"/>
  <c r="K105" i="4" s="1"/>
  <c r="I282" i="1"/>
  <c r="I379" i="1" s="1"/>
  <c r="AB202" i="4"/>
  <c r="AF202" i="4"/>
  <c r="AA44" i="3"/>
  <c r="D107" i="4" s="1"/>
  <c r="D105" i="4"/>
  <c r="AD42" i="3"/>
  <c r="G105" i="4" s="1"/>
  <c r="AF80" i="4"/>
  <c r="AC42" i="3"/>
  <c r="F101" i="4"/>
  <c r="AA80" i="4"/>
  <c r="AG221" i="4"/>
  <c r="AF42" i="3"/>
  <c r="I105" i="4" s="1"/>
  <c r="AB42" i="3"/>
  <c r="E101" i="4"/>
  <c r="AG42" i="3"/>
  <c r="J105" i="4" s="1"/>
  <c r="AG204" i="4"/>
  <c r="C23" i="15" s="1"/>
  <c r="P205" i="4"/>
  <c r="AG205" i="4" s="1"/>
  <c r="AM42" i="3"/>
  <c r="P101" i="4"/>
  <c r="AC267" i="4"/>
  <c r="J19" i="1"/>
  <c r="J40" i="1" s="1"/>
  <c r="K275" i="1"/>
  <c r="K279" i="1" s="1"/>
  <c r="L29" i="17" s="1"/>
  <c r="AG222" i="4"/>
  <c r="P227" i="4"/>
  <c r="AG227" i="4" s="1"/>
  <c r="AL44" i="3"/>
  <c r="O107" i="4" s="1"/>
  <c r="O113" i="4" s="1"/>
  <c r="O118" i="4" s="1"/>
  <c r="H229" i="1"/>
  <c r="H226" i="1"/>
  <c r="Z80" i="4"/>
  <c r="O48" i="7"/>
  <c r="C55" i="7"/>
  <c r="B90" i="7" s="1"/>
  <c r="M48" i="7"/>
  <c r="C49" i="7"/>
  <c r="C50" i="7"/>
  <c r="AJ263" i="4"/>
  <c r="S264" i="4"/>
  <c r="M46" i="1"/>
  <c r="K218" i="1"/>
  <c r="J221" i="1"/>
  <c r="J12" i="1"/>
  <c r="G46" i="7"/>
  <c r="B81" i="7"/>
  <c r="B85" i="7"/>
  <c r="J5" i="8"/>
  <c r="D110" i="7"/>
  <c r="J52" i="6"/>
  <c r="N52" i="6"/>
  <c r="H5" i="3"/>
  <c r="AW38" i="3"/>
  <c r="G107" i="1" s="1"/>
  <c r="AE42" i="3"/>
  <c r="H105" i="4" s="1"/>
  <c r="AU34" i="3"/>
  <c r="E74" i="1" s="1"/>
  <c r="E75" i="1" s="1"/>
  <c r="AQ38" i="3"/>
  <c r="G42" i="3"/>
  <c r="AU38" i="3"/>
  <c r="E107" i="1" s="1"/>
  <c r="W42" i="3"/>
  <c r="C44" i="3"/>
  <c r="AP42" i="3"/>
  <c r="AP44" i="3" s="1"/>
  <c r="O42" i="3"/>
  <c r="AS38" i="3"/>
  <c r="C107" i="1" s="1"/>
  <c r="AR42" i="3"/>
  <c r="AR44" i="3" s="1"/>
  <c r="K44" i="3"/>
  <c r="AT42" i="3"/>
  <c r="S44" i="3"/>
  <c r="AJ42" i="3"/>
  <c r="M105" i="4" s="1"/>
  <c r="M148" i="4" s="1"/>
  <c r="M170" i="4" s="1"/>
  <c r="M180" i="4" s="1"/>
  <c r="AX38" i="3"/>
  <c r="H107" i="1" s="1"/>
  <c r="H5" i="2"/>
  <c r="AV141" i="2"/>
  <c r="AW141" i="2"/>
  <c r="H305" i="4" l="1"/>
  <c r="H315" i="4" s="1"/>
  <c r="H309" i="4"/>
  <c r="C144" i="9" s="1"/>
  <c r="K46" i="7"/>
  <c r="O255" i="1" s="1"/>
  <c r="AI44" i="3"/>
  <c r="L107" i="4" s="1"/>
  <c r="L113" i="4" s="1"/>
  <c r="L118" i="4" s="1"/>
  <c r="AD270" i="4"/>
  <c r="O181" i="4"/>
  <c r="K298" i="4"/>
  <c r="J293" i="4"/>
  <c r="I303" i="4"/>
  <c r="J299" i="4"/>
  <c r="J294" i="4" s="1"/>
  <c r="K300" i="4"/>
  <c r="G86" i="7"/>
  <c r="K292" i="4"/>
  <c r="L297" i="4"/>
  <c r="H316" i="4"/>
  <c r="N123" i="1"/>
  <c r="M98" i="1"/>
  <c r="F121" i="10"/>
  <c r="G66" i="10"/>
  <c r="G121" i="10" s="1"/>
  <c r="M15" i="17"/>
  <c r="N15" i="17" s="1"/>
  <c r="L48" i="9"/>
  <c r="V29" i="4"/>
  <c r="V31" i="4"/>
  <c r="V60" i="4"/>
  <c r="V178" i="4" s="1"/>
  <c r="H234" i="1"/>
  <c r="H235" i="1" s="1"/>
  <c r="C59" i="10"/>
  <c r="C67" i="10" s="1"/>
  <c r="F107" i="1"/>
  <c r="C298" i="9"/>
  <c r="G329" i="1"/>
  <c r="I357" i="1"/>
  <c r="I377" i="1" s="1"/>
  <c r="E57" i="9"/>
  <c r="E56" i="9"/>
  <c r="E54" i="9"/>
  <c r="E55" i="9"/>
  <c r="D14" i="15"/>
  <c r="H311" i="1"/>
  <c r="H329" i="1" s="1"/>
  <c r="H351" i="1" s="1"/>
  <c r="H356" i="1" s="1"/>
  <c r="C307" i="9"/>
  <c r="D303" i="9" s="1"/>
  <c r="H87" i="7"/>
  <c r="H501" i="7" s="1"/>
  <c r="B451" i="7"/>
  <c r="J363" i="1"/>
  <c r="I380" i="1"/>
  <c r="H231" i="1"/>
  <c r="H230" i="1"/>
  <c r="N99" i="1"/>
  <c r="N163" i="1" s="1"/>
  <c r="I141" i="10" s="1"/>
  <c r="D64" i="10"/>
  <c r="W202" i="4"/>
  <c r="W11" i="4"/>
  <c r="AN11" i="4" s="1"/>
  <c r="AN201" i="4"/>
  <c r="AK11" i="4"/>
  <c r="T13" i="4"/>
  <c r="AK13" i="4" s="1"/>
  <c r="T286" i="4"/>
  <c r="T252" i="4"/>
  <c r="W264" i="4"/>
  <c r="AN263" i="4"/>
  <c r="L11" i="1"/>
  <c r="K12" i="13" s="1"/>
  <c r="K13" i="13" s="1"/>
  <c r="J292" i="1"/>
  <c r="D33" i="13"/>
  <c r="D71" i="13"/>
  <c r="C36" i="13"/>
  <c r="C73" i="13"/>
  <c r="C111" i="7"/>
  <c r="D111" i="7" s="1"/>
  <c r="M214" i="1"/>
  <c r="M11" i="1" s="1"/>
  <c r="N211" i="1"/>
  <c r="I69" i="10" s="1"/>
  <c r="P271" i="4"/>
  <c r="AG270" i="4"/>
  <c r="G67" i="7"/>
  <c r="F117" i="10" s="1"/>
  <c r="K255" i="1"/>
  <c r="E24" i="13"/>
  <c r="E62" i="13" s="1"/>
  <c r="D56" i="7"/>
  <c r="C55" i="13"/>
  <c r="D55" i="13"/>
  <c r="D73" i="13"/>
  <c r="I86" i="7"/>
  <c r="K67" i="7"/>
  <c r="J117" i="10" s="1"/>
  <c r="AD286" i="4"/>
  <c r="C32" i="13"/>
  <c r="AC286" i="4"/>
  <c r="H271" i="1"/>
  <c r="H268" i="1"/>
  <c r="H86" i="7"/>
  <c r="J85" i="7"/>
  <c r="D322" i="7" s="1"/>
  <c r="C63" i="13"/>
  <c r="J81" i="7"/>
  <c r="E48" i="7"/>
  <c r="P287" i="4"/>
  <c r="N29" i="1"/>
  <c r="M31" i="1"/>
  <c r="H66" i="10" s="1"/>
  <c r="P225" i="4"/>
  <c r="AG225" i="4" s="1"/>
  <c r="G271" i="1"/>
  <c r="G292" i="1"/>
  <c r="G363" i="1"/>
  <c r="G380" i="1" s="1"/>
  <c r="I2" i="1"/>
  <c r="H209" i="1"/>
  <c r="H240" i="1" s="1"/>
  <c r="I226" i="1"/>
  <c r="J224" i="1"/>
  <c r="E63" i="10" s="1"/>
  <c r="I229" i="1"/>
  <c r="I45" i="1"/>
  <c r="AM44" i="3"/>
  <c r="P107" i="4" s="1"/>
  <c r="P105" i="4"/>
  <c r="P148" i="4" s="1"/>
  <c r="P170" i="4" s="1"/>
  <c r="P180" i="4" s="1"/>
  <c r="AC44" i="3"/>
  <c r="F107" i="4" s="1"/>
  <c r="F105" i="4"/>
  <c r="AT44" i="3"/>
  <c r="D113" i="1" s="1"/>
  <c r="D120" i="1" s="1"/>
  <c r="D111" i="1"/>
  <c r="AK44" i="3"/>
  <c r="N107" i="4" s="1"/>
  <c r="N113" i="4" s="1"/>
  <c r="N118" i="4" s="1"/>
  <c r="L275" i="1"/>
  <c r="L279" i="1" s="1"/>
  <c r="M29" i="17" s="1"/>
  <c r="N29" i="17" s="1"/>
  <c r="K19" i="1"/>
  <c r="K40" i="1" s="1"/>
  <c r="I270" i="1"/>
  <c r="D65" i="10"/>
  <c r="I281" i="1"/>
  <c r="AF44" i="3"/>
  <c r="I107" i="4" s="1"/>
  <c r="AD44" i="3"/>
  <c r="G107" i="4" s="1"/>
  <c r="J282" i="1"/>
  <c r="J379" i="1" s="1"/>
  <c r="AG44" i="3"/>
  <c r="J107" i="4" s="1"/>
  <c r="AH44" i="3"/>
  <c r="K107" i="4" s="1"/>
  <c r="AV44" i="3"/>
  <c r="F113" i="1" s="1"/>
  <c r="F120" i="1" s="1"/>
  <c r="F125" i="1" s="1"/>
  <c r="F111" i="1"/>
  <c r="AB44" i="3"/>
  <c r="E107" i="4" s="1"/>
  <c r="E105" i="4"/>
  <c r="M55" i="7"/>
  <c r="C56" i="7"/>
  <c r="O55" i="7"/>
  <c r="R46" i="7"/>
  <c r="S46" i="7"/>
  <c r="N46" i="1"/>
  <c r="J222" i="1"/>
  <c r="J13" i="1"/>
  <c r="K14" i="17" s="1"/>
  <c r="K221" i="1"/>
  <c r="K12" i="1"/>
  <c r="L218" i="1"/>
  <c r="B87" i="7"/>
  <c r="B501" i="7" s="1"/>
  <c r="F86" i="7"/>
  <c r="F48" i="7"/>
  <c r="J263" i="1" s="1"/>
  <c r="K5" i="8"/>
  <c r="O44" i="3"/>
  <c r="AS42" i="3"/>
  <c r="G44" i="3"/>
  <c r="AQ42" i="3"/>
  <c r="AQ44" i="3" s="1"/>
  <c r="AJ44" i="3"/>
  <c r="M107" i="4" s="1"/>
  <c r="M113" i="4" s="1"/>
  <c r="M118" i="4" s="1"/>
  <c r="AX42" i="3"/>
  <c r="H111" i="1" s="1"/>
  <c r="H159" i="1" s="1"/>
  <c r="H181" i="1" s="1"/>
  <c r="H191" i="1" s="1"/>
  <c r="H151" i="1" s="1"/>
  <c r="AE44" i="3"/>
  <c r="H107" i="4" s="1"/>
  <c r="AW42" i="3"/>
  <c r="G111" i="1" s="1"/>
  <c r="G159" i="1" s="1"/>
  <c r="G181" i="1" s="1"/>
  <c r="G191" i="1" s="1"/>
  <c r="AU42" i="3"/>
  <c r="W44" i="3"/>
  <c r="I5" i="3"/>
  <c r="I5" i="2"/>
  <c r="V46" i="7" l="1"/>
  <c r="M297" i="4"/>
  <c r="L292" i="4"/>
  <c r="L300" i="4"/>
  <c r="K299" i="4"/>
  <c r="K294" i="4" s="1"/>
  <c r="I309" i="4"/>
  <c r="I313" i="4"/>
  <c r="I305" i="4"/>
  <c r="I315" i="4" s="1"/>
  <c r="J303" i="4"/>
  <c r="H318" i="4"/>
  <c r="H317" i="4"/>
  <c r="L298" i="4"/>
  <c r="K293" i="4"/>
  <c r="K303" i="4" s="1"/>
  <c r="C535" i="9"/>
  <c r="C539" i="9"/>
  <c r="V59" i="4"/>
  <c r="V140" i="4"/>
  <c r="G84" i="10"/>
  <c r="O123" i="1"/>
  <c r="O98" i="1" s="1"/>
  <c r="N98" i="1"/>
  <c r="J378" i="1"/>
  <c r="V279" i="4"/>
  <c r="V61" i="4"/>
  <c r="V93" i="4"/>
  <c r="D83" i="10"/>
  <c r="G351" i="1"/>
  <c r="I254" i="9"/>
  <c r="G359" i="1"/>
  <c r="G357" i="1" s="1"/>
  <c r="G377" i="1" s="1"/>
  <c r="J359" i="1"/>
  <c r="J357" i="1" s="1"/>
  <c r="J377" i="1" s="1"/>
  <c r="C305" i="9"/>
  <c r="D305" i="9" s="1"/>
  <c r="E58" i="9"/>
  <c r="I311" i="1"/>
  <c r="I329" i="1" s="1"/>
  <c r="I351" i="1" s="1"/>
  <c r="I356" i="1" s="1"/>
  <c r="I300" i="1"/>
  <c r="D304" i="9"/>
  <c r="D302" i="9"/>
  <c r="D306" i="9"/>
  <c r="C59" i="9"/>
  <c r="C58" i="9" s="1"/>
  <c r="D144" i="9"/>
  <c r="I230" i="1"/>
  <c r="I234" i="1"/>
  <c r="I235" i="1" s="1"/>
  <c r="T204" i="4"/>
  <c r="T205" i="4" s="1"/>
  <c r="AK205" i="4" s="1"/>
  <c r="W13" i="4"/>
  <c r="H121" i="10"/>
  <c r="H84" i="10"/>
  <c r="D62" i="10"/>
  <c r="D111" i="10" s="1"/>
  <c r="D113" i="10" s="1"/>
  <c r="D119" i="10" s="1"/>
  <c r="D98" i="10" s="1"/>
  <c r="J380" i="1"/>
  <c r="K363" i="1"/>
  <c r="D42" i="13"/>
  <c r="P113" i="4"/>
  <c r="P118" i="4" s="1"/>
  <c r="S118" i="4" s="1"/>
  <c r="O99" i="1"/>
  <c r="O163" i="1" s="1"/>
  <c r="J141" i="10" s="1"/>
  <c r="W267" i="4"/>
  <c r="W268" i="4" s="1"/>
  <c r="K58" i="13"/>
  <c r="T255" i="4"/>
  <c r="AK286" i="4"/>
  <c r="T12" i="4"/>
  <c r="E64" i="10"/>
  <c r="K292" i="1"/>
  <c r="T253" i="4"/>
  <c r="T28" i="4"/>
  <c r="AK28" i="4" s="1"/>
  <c r="AK252" i="4"/>
  <c r="I14" i="13"/>
  <c r="I16" i="13" s="1"/>
  <c r="O211" i="1"/>
  <c r="J69" i="10" s="1"/>
  <c r="N214" i="1"/>
  <c r="N11" i="1" s="1"/>
  <c r="C33" i="13"/>
  <c r="C71" i="13"/>
  <c r="M215" i="1"/>
  <c r="J30" i="13"/>
  <c r="J69" i="13" s="1"/>
  <c r="H272" i="1"/>
  <c r="H288" i="1"/>
  <c r="G272" i="1"/>
  <c r="G288" i="1"/>
  <c r="E5" i="13"/>
  <c r="I31" i="13"/>
  <c r="I70" i="13" s="1"/>
  <c r="J86" i="7"/>
  <c r="J87" i="7"/>
  <c r="D330" i="7" s="1"/>
  <c r="I51" i="1"/>
  <c r="E55" i="7"/>
  <c r="S267" i="4"/>
  <c r="G31" i="13" s="1"/>
  <c r="G70" i="13" s="1"/>
  <c r="I263" i="1"/>
  <c r="E50" i="7"/>
  <c r="P48" i="7"/>
  <c r="O29" i="1"/>
  <c r="O31" i="1" s="1"/>
  <c r="J66" i="10" s="1"/>
  <c r="K66" i="10" s="1"/>
  <c r="N31" i="1"/>
  <c r="I66" i="10" s="1"/>
  <c r="G366" i="1"/>
  <c r="H365" i="1"/>
  <c r="G296" i="1"/>
  <c r="H293" i="1"/>
  <c r="I209" i="1"/>
  <c r="I240" i="1" s="1"/>
  <c r="J2" i="1"/>
  <c r="D56" i="10"/>
  <c r="D34" i="10" s="1"/>
  <c r="I231" i="1"/>
  <c r="D59" i="10"/>
  <c r="E12" i="10" s="1"/>
  <c r="J229" i="1"/>
  <c r="J45" i="1"/>
  <c r="K45" i="1"/>
  <c r="J226" i="1"/>
  <c r="K224" i="1"/>
  <c r="F63" i="10" s="1"/>
  <c r="AS44" i="3"/>
  <c r="C113" i="1" s="1"/>
  <c r="C120" i="1" s="1"/>
  <c r="C111" i="1"/>
  <c r="AU44" i="3"/>
  <c r="E113" i="1" s="1"/>
  <c r="E120" i="1" s="1"/>
  <c r="E111" i="1"/>
  <c r="E65" i="10"/>
  <c r="E83" i="10" s="1"/>
  <c r="J281" i="1"/>
  <c r="J270" i="1"/>
  <c r="AX44" i="3"/>
  <c r="H113" i="1" s="1"/>
  <c r="H192" i="1" s="1"/>
  <c r="K282" i="1"/>
  <c r="K379" i="1" s="1"/>
  <c r="AW44" i="3"/>
  <c r="G113" i="1" s="1"/>
  <c r="G120" i="1" s="1"/>
  <c r="G125" i="1" s="1"/>
  <c r="L19" i="1"/>
  <c r="L40" i="1" s="1"/>
  <c r="M275" i="1"/>
  <c r="M279" i="1" s="1"/>
  <c r="E60" i="10"/>
  <c r="H48" i="7"/>
  <c r="F50" i="7"/>
  <c r="Q48" i="7"/>
  <c r="F55" i="7"/>
  <c r="O46" i="1"/>
  <c r="K222" i="1"/>
  <c r="K13" i="1"/>
  <c r="M218" i="1"/>
  <c r="L221" i="1"/>
  <c r="L12" i="1"/>
  <c r="G48" i="7"/>
  <c r="L5" i="8"/>
  <c r="J5" i="3"/>
  <c r="J5" i="2"/>
  <c r="J309" i="4" l="1"/>
  <c r="E144" i="9" s="1"/>
  <c r="J313" i="4"/>
  <c r="J305" i="4"/>
  <c r="J315" i="4" s="1"/>
  <c r="I316" i="4"/>
  <c r="K309" i="4"/>
  <c r="F144" i="9" s="1"/>
  <c r="K305" i="4"/>
  <c r="K315" i="4" s="1"/>
  <c r="K313" i="4"/>
  <c r="M298" i="4"/>
  <c r="L293" i="4"/>
  <c r="M300" i="4"/>
  <c r="L299" i="4"/>
  <c r="L294" i="4" s="1"/>
  <c r="N297" i="4"/>
  <c r="M292" i="4"/>
  <c r="G192" i="1"/>
  <c r="V80" i="4"/>
  <c r="V81" i="4" s="1"/>
  <c r="V145" i="4"/>
  <c r="V138" i="4" s="1"/>
  <c r="J14" i="13"/>
  <c r="L14" i="17"/>
  <c r="W12" i="4"/>
  <c r="I378" i="1"/>
  <c r="K263" i="1"/>
  <c r="F60" i="10" s="1"/>
  <c r="G55" i="7"/>
  <c r="V96" i="4"/>
  <c r="T270" i="4"/>
  <c r="T271" i="4" s="1"/>
  <c r="T258" i="4"/>
  <c r="AK258" i="4" s="1"/>
  <c r="I255" i="9"/>
  <c r="H253" i="9" s="1"/>
  <c r="G253" i="9" s="1"/>
  <c r="M255" i="9"/>
  <c r="G356" i="1"/>
  <c r="K359" i="1"/>
  <c r="K357" i="1" s="1"/>
  <c r="K377" i="1" s="1"/>
  <c r="J311" i="1"/>
  <c r="J329" i="1" s="1"/>
  <c r="J351" i="1" s="1"/>
  <c r="J356" i="1" s="1"/>
  <c r="J300" i="1"/>
  <c r="C145" i="9"/>
  <c r="J230" i="1"/>
  <c r="J234" i="1"/>
  <c r="J235" i="1" s="1"/>
  <c r="AK204" i="4"/>
  <c r="J121" i="10"/>
  <c r="J84" i="10"/>
  <c r="K84" i="10" s="1"/>
  <c r="I121" i="10"/>
  <c r="I84" i="10"/>
  <c r="E62" i="10"/>
  <c r="E111" i="10" s="1"/>
  <c r="E113" i="10" s="1"/>
  <c r="E119" i="10" s="1"/>
  <c r="K380" i="1"/>
  <c r="L363" i="1"/>
  <c r="H114" i="1"/>
  <c r="H289" i="1"/>
  <c r="H368" i="1"/>
  <c r="H381" i="1" s="1"/>
  <c r="G289" i="1"/>
  <c r="G368" i="1"/>
  <c r="G381" i="1" s="1"/>
  <c r="D47" i="13"/>
  <c r="D78" i="13" s="1"/>
  <c r="D76" i="13"/>
  <c r="O214" i="1"/>
  <c r="O215" i="1" s="1"/>
  <c r="C42" i="13"/>
  <c r="H120" i="1"/>
  <c r="H125" i="1" s="1"/>
  <c r="I126" i="1" s="1"/>
  <c r="W266" i="4"/>
  <c r="T256" i="4"/>
  <c r="T30" i="4"/>
  <c r="AK30" i="4" s="1"/>
  <c r="T50" i="4"/>
  <c r="F64" i="10"/>
  <c r="L292" i="1"/>
  <c r="J51" i="1"/>
  <c r="W276" i="4"/>
  <c r="W14" i="4"/>
  <c r="W204" i="4"/>
  <c r="N215" i="1"/>
  <c r="E53" i="13"/>
  <c r="E96" i="10"/>
  <c r="E78" i="10"/>
  <c r="D77" i="10"/>
  <c r="C124" i="9" s="1"/>
  <c r="D334" i="7"/>
  <c r="B93" i="7"/>
  <c r="G4" i="10" s="1"/>
  <c r="J16" i="13"/>
  <c r="J15" i="13"/>
  <c r="Q55" i="7"/>
  <c r="E56" i="7"/>
  <c r="P55" i="7"/>
  <c r="D105" i="10"/>
  <c r="D107" i="10" s="1"/>
  <c r="D116" i="10" s="1"/>
  <c r="H31" i="13"/>
  <c r="H70" i="13" s="1"/>
  <c r="S266" i="4"/>
  <c r="AJ267" i="4"/>
  <c r="S268" i="4"/>
  <c r="D60" i="10"/>
  <c r="K229" i="1"/>
  <c r="K234" i="1" s="1"/>
  <c r="J209" i="1"/>
  <c r="J240" i="1" s="1"/>
  <c r="K2" i="1"/>
  <c r="E56" i="10"/>
  <c r="E34" i="10" s="1"/>
  <c r="J231" i="1"/>
  <c r="E59" i="10"/>
  <c r="E77" i="10" s="1"/>
  <c r="L45" i="1"/>
  <c r="K226" i="1"/>
  <c r="L224" i="1"/>
  <c r="G63" i="10" s="1"/>
  <c r="L282" i="1"/>
  <c r="L379" i="1" s="1"/>
  <c r="F65" i="10"/>
  <c r="F83" i="10" s="1"/>
  <c r="K270" i="1"/>
  <c r="K281" i="1"/>
  <c r="K51" i="1" s="1"/>
  <c r="N275" i="1"/>
  <c r="N279" i="1" s="1"/>
  <c r="M19" i="1"/>
  <c r="M40" i="1" s="1"/>
  <c r="H55" i="7"/>
  <c r="H56" i="7" s="1"/>
  <c r="L263" i="1"/>
  <c r="H50" i="7"/>
  <c r="I48" i="7"/>
  <c r="S48" i="7"/>
  <c r="F56" i="7"/>
  <c r="L222" i="1"/>
  <c r="L13" i="1"/>
  <c r="N218" i="1"/>
  <c r="M221" i="1"/>
  <c r="M12" i="1"/>
  <c r="G50" i="7"/>
  <c r="R48" i="7"/>
  <c r="M5" i="8"/>
  <c r="K5" i="3"/>
  <c r="K5" i="2"/>
  <c r="J31" i="13" l="1"/>
  <c r="J70" i="13" s="1"/>
  <c r="K316" i="4"/>
  <c r="K317" i="4" s="1"/>
  <c r="N298" i="4"/>
  <c r="M293" i="4"/>
  <c r="N292" i="4"/>
  <c r="O297" i="4"/>
  <c r="I317" i="4"/>
  <c r="I318" i="4"/>
  <c r="D145" i="9" s="1"/>
  <c r="N300" i="4"/>
  <c r="M299" i="4"/>
  <c r="M294" i="4" s="1"/>
  <c r="J316" i="4"/>
  <c r="L303" i="4"/>
  <c r="AC303" i="4" s="1"/>
  <c r="V77" i="4"/>
  <c r="V78" i="4" s="1"/>
  <c r="V101" i="4"/>
  <c r="V105" i="4" s="1"/>
  <c r="V148" i="4" s="1"/>
  <c r="V170" i="4" s="1"/>
  <c r="V180" i="4" s="1"/>
  <c r="K14" i="13"/>
  <c r="K16" i="13" s="1"/>
  <c r="M14" i="17"/>
  <c r="K378" i="1"/>
  <c r="L378" i="1"/>
  <c r="I253" i="9"/>
  <c r="J253" i="9" s="1"/>
  <c r="K253" i="9" s="1"/>
  <c r="L253" i="9" s="1"/>
  <c r="M253" i="9" s="1"/>
  <c r="N253" i="9" s="1"/>
  <c r="O253" i="9" s="1"/>
  <c r="D78" i="10"/>
  <c r="E4" i="10" s="1"/>
  <c r="F4" i="10" s="1"/>
  <c r="T60" i="4"/>
  <c r="T178" i="4" s="1"/>
  <c r="J48" i="9"/>
  <c r="L359" i="1"/>
  <c r="L357" i="1" s="1"/>
  <c r="L377" i="1" s="1"/>
  <c r="K311" i="1"/>
  <c r="K329" i="1" s="1"/>
  <c r="K351" i="1" s="1"/>
  <c r="K356" i="1" s="1"/>
  <c r="K300" i="1"/>
  <c r="H382" i="1"/>
  <c r="C299" i="9"/>
  <c r="K235" i="1"/>
  <c r="O218" i="1"/>
  <c r="O221" i="1" s="1"/>
  <c r="G370" i="1"/>
  <c r="G382" i="1"/>
  <c r="F62" i="10"/>
  <c r="F111" i="10" s="1"/>
  <c r="F113" i="10" s="1"/>
  <c r="F119" i="10" s="1"/>
  <c r="L380" i="1"/>
  <c r="M363" i="1"/>
  <c r="O11" i="1"/>
  <c r="I368" i="1"/>
  <c r="I381" i="1" s="1"/>
  <c r="H370" i="1"/>
  <c r="H369" i="1"/>
  <c r="F59" i="10"/>
  <c r="F77" i="10" s="1"/>
  <c r="K230" i="1"/>
  <c r="C47" i="13"/>
  <c r="C78" i="13" s="1"/>
  <c r="C76" i="13"/>
  <c r="J126" i="1"/>
  <c r="S119" i="4"/>
  <c r="S113" i="4" s="1"/>
  <c r="I120" i="1"/>
  <c r="T29" i="4"/>
  <c r="T31" i="4"/>
  <c r="G64" i="10"/>
  <c r="M292" i="1"/>
  <c r="W205" i="4"/>
  <c r="W282" i="4"/>
  <c r="W277" i="4"/>
  <c r="E3" i="10"/>
  <c r="G3" i="10" s="1"/>
  <c r="F96" i="10"/>
  <c r="F78" i="10"/>
  <c r="K31" i="13"/>
  <c r="K70" i="13" s="1"/>
  <c r="D96" i="10"/>
  <c r="E98" i="10"/>
  <c r="D95" i="10"/>
  <c r="E105" i="10"/>
  <c r="E107" i="10" s="1"/>
  <c r="E116" i="10" s="1"/>
  <c r="I59" i="13"/>
  <c r="K231" i="1"/>
  <c r="K209" i="1"/>
  <c r="K240" i="1" s="1"/>
  <c r="L2" i="1"/>
  <c r="F56" i="10"/>
  <c r="F34" i="10" s="1"/>
  <c r="L226" i="1"/>
  <c r="M224" i="1"/>
  <c r="H63" i="10" s="1"/>
  <c r="L229" i="1"/>
  <c r="O275" i="1"/>
  <c r="O279" i="1" s="1"/>
  <c r="N19" i="1"/>
  <c r="N40" i="1" s="1"/>
  <c r="G65" i="10"/>
  <c r="G83" i="10" s="1"/>
  <c r="L281" i="1"/>
  <c r="L51" i="1" s="1"/>
  <c r="L270" i="1"/>
  <c r="M282" i="1"/>
  <c r="M379" i="1" s="1"/>
  <c r="G60" i="10"/>
  <c r="M263" i="1"/>
  <c r="I50" i="7"/>
  <c r="T48" i="7"/>
  <c r="I55" i="7"/>
  <c r="I56" i="7" s="1"/>
  <c r="K48" i="7"/>
  <c r="J48" i="7"/>
  <c r="M222" i="1"/>
  <c r="M13" i="1"/>
  <c r="N221" i="1"/>
  <c r="N12" i="1"/>
  <c r="G56" i="7"/>
  <c r="R55" i="7"/>
  <c r="N5" i="8"/>
  <c r="O5" i="8" s="1"/>
  <c r="P5" i="8" s="1"/>
  <c r="Q5" i="8" s="1"/>
  <c r="R5" i="8" s="1"/>
  <c r="S5" i="8" s="1"/>
  <c r="T5" i="8" s="1"/>
  <c r="U5" i="8" s="1"/>
  <c r="V5" i="8" s="1"/>
  <c r="L5" i="3"/>
  <c r="L5" i="2"/>
  <c r="M303" i="4" l="1"/>
  <c r="M313" i="4" s="1"/>
  <c r="AD313" i="4" s="1"/>
  <c r="V107" i="4"/>
  <c r="V120" i="4" s="1"/>
  <c r="K318" i="4"/>
  <c r="F145" i="9" s="1"/>
  <c r="O292" i="4"/>
  <c r="P297" i="4"/>
  <c r="Q297" i="4" s="1"/>
  <c r="Q292" i="4" s="1"/>
  <c r="L305" i="4"/>
  <c r="L315" i="4" s="1"/>
  <c r="AC315" i="4" s="1"/>
  <c r="L309" i="4"/>
  <c r="G144" i="9" s="1"/>
  <c r="L313" i="4"/>
  <c r="M309" i="4"/>
  <c r="H144" i="9" s="1"/>
  <c r="J317" i="4"/>
  <c r="J318" i="4"/>
  <c r="E145" i="9" s="1"/>
  <c r="N293" i="4"/>
  <c r="O298" i="4"/>
  <c r="N299" i="4"/>
  <c r="N294" i="4" s="1"/>
  <c r="O300" i="4"/>
  <c r="P300" i="4" s="1"/>
  <c r="V110" i="4"/>
  <c r="K15" i="13"/>
  <c r="T279" i="4"/>
  <c r="T140" i="4"/>
  <c r="M378" i="1"/>
  <c r="T93" i="4"/>
  <c r="T96" i="4" s="1"/>
  <c r="T59" i="4"/>
  <c r="T61" i="4"/>
  <c r="H406" i="1"/>
  <c r="H402" i="1" s="1"/>
  <c r="H391" i="1"/>
  <c r="D548" i="9" s="1"/>
  <c r="H385" i="1"/>
  <c r="H386" i="1"/>
  <c r="H387" i="1"/>
  <c r="H388" i="1"/>
  <c r="H389" i="1"/>
  <c r="G387" i="1"/>
  <c r="G388" i="1"/>
  <c r="G386" i="1"/>
  <c r="G385" i="1"/>
  <c r="G389" i="1"/>
  <c r="M359" i="1"/>
  <c r="M357" i="1" s="1"/>
  <c r="M377" i="1" s="1"/>
  <c r="L311" i="1"/>
  <c r="L329" i="1" s="1"/>
  <c r="L351" i="1" s="1"/>
  <c r="L356" i="1" s="1"/>
  <c r="L300" i="1"/>
  <c r="H393" i="1"/>
  <c r="H392" i="1"/>
  <c r="H390" i="1"/>
  <c r="H394" i="1"/>
  <c r="O12" i="1"/>
  <c r="L230" i="1"/>
  <c r="L234" i="1"/>
  <c r="L235" i="1" s="1"/>
  <c r="I382" i="1"/>
  <c r="G394" i="1"/>
  <c r="G391" i="1"/>
  <c r="C548" i="9" s="1"/>
  <c r="G390" i="1"/>
  <c r="G392" i="1"/>
  <c r="G393" i="1"/>
  <c r="G62" i="10"/>
  <c r="G111" i="10" s="1"/>
  <c r="G113" i="10" s="1"/>
  <c r="G119" i="10" s="1"/>
  <c r="M380" i="1"/>
  <c r="N363" i="1"/>
  <c r="F105" i="10"/>
  <c r="F107" i="10" s="1"/>
  <c r="F116" i="10" s="1"/>
  <c r="F95" i="10" s="1"/>
  <c r="J368" i="1"/>
  <c r="J381" i="1" s="1"/>
  <c r="I288" i="1"/>
  <c r="I286" i="1" s="1"/>
  <c r="W119" i="4"/>
  <c r="W113" i="4" s="1"/>
  <c r="K126" i="1"/>
  <c r="J120" i="1"/>
  <c r="H64" i="10"/>
  <c r="N292" i="1"/>
  <c r="W278" i="4"/>
  <c r="BA37" i="8"/>
  <c r="G96" i="10"/>
  <c r="G78" i="10"/>
  <c r="O19" i="1"/>
  <c r="O40" i="1" s="1"/>
  <c r="F98" i="10"/>
  <c r="E95" i="10"/>
  <c r="J59" i="13"/>
  <c r="M45" i="1"/>
  <c r="N45" i="1"/>
  <c r="L209" i="1"/>
  <c r="L240" i="1" s="1"/>
  <c r="M2" i="1"/>
  <c r="G56" i="10"/>
  <c r="G34" i="10" s="1"/>
  <c r="G59" i="10"/>
  <c r="G77" i="10" s="1"/>
  <c r="L231" i="1"/>
  <c r="M226" i="1"/>
  <c r="N224" i="1"/>
  <c r="I63" i="10" s="1"/>
  <c r="M229" i="1"/>
  <c r="H65" i="10"/>
  <c r="H83" i="10" s="1"/>
  <c r="M281" i="1"/>
  <c r="M51" i="1" s="1"/>
  <c r="M270" i="1"/>
  <c r="O282" i="1"/>
  <c r="O379" i="1" s="1"/>
  <c r="N282" i="1"/>
  <c r="N379" i="1" s="1"/>
  <c r="H60" i="10"/>
  <c r="N263" i="1"/>
  <c r="J55" i="7"/>
  <c r="J56" i="7" s="1"/>
  <c r="U48" i="7"/>
  <c r="J50" i="7"/>
  <c r="K55" i="7"/>
  <c r="K56" i="7" s="1"/>
  <c r="K50" i="7"/>
  <c r="V48" i="7"/>
  <c r="O263" i="1"/>
  <c r="O378" i="1" s="1"/>
  <c r="O222" i="1"/>
  <c r="O13" i="1"/>
  <c r="N222" i="1"/>
  <c r="N13" i="1"/>
  <c r="BB36" i="8"/>
  <c r="BB28" i="8"/>
  <c r="BB31" i="8"/>
  <c r="BA30" i="8"/>
  <c r="BB38" i="8"/>
  <c r="BA38" i="8"/>
  <c r="BA32" i="8"/>
  <c r="BB34" i="8"/>
  <c r="BA35" i="8"/>
  <c r="BA36" i="8"/>
  <c r="BB30" i="8"/>
  <c r="BB37" i="8"/>
  <c r="BA31" i="8"/>
  <c r="BA34" i="8"/>
  <c r="BB35" i="8"/>
  <c r="BB32" i="8"/>
  <c r="BA28" i="8"/>
  <c r="M5" i="3"/>
  <c r="M5" i="2"/>
  <c r="AD303" i="4" l="1"/>
  <c r="M305" i="4"/>
  <c r="M315" i="4" s="1"/>
  <c r="O299" i="4"/>
  <c r="O294" i="4" s="1"/>
  <c r="AC305" i="4"/>
  <c r="M316" i="4"/>
  <c r="L316" i="4"/>
  <c r="AC313" i="4"/>
  <c r="O293" i="4"/>
  <c r="P298" i="4"/>
  <c r="P299" i="4" s="1"/>
  <c r="P294" i="4" s="1"/>
  <c r="N303" i="4"/>
  <c r="T80" i="4"/>
  <c r="T77" i="4" s="1"/>
  <c r="T78" i="4" s="1"/>
  <c r="T145" i="4"/>
  <c r="T138" i="4" s="1"/>
  <c r="N378" i="1"/>
  <c r="H405" i="1"/>
  <c r="H401" i="1"/>
  <c r="H403" i="1"/>
  <c r="H400" i="1"/>
  <c r="H399" i="1"/>
  <c r="H397" i="1"/>
  <c r="I406" i="1"/>
  <c r="I400" i="1" s="1"/>
  <c r="H398" i="1"/>
  <c r="H404" i="1"/>
  <c r="I393" i="1"/>
  <c r="I386" i="1"/>
  <c r="I385" i="1"/>
  <c r="I387" i="1"/>
  <c r="I388" i="1"/>
  <c r="I389" i="1"/>
  <c r="N359" i="1"/>
  <c r="N357" i="1" s="1"/>
  <c r="N377" i="1" s="1"/>
  <c r="M311" i="1"/>
  <c r="M329" i="1" s="1"/>
  <c r="M351" i="1" s="1"/>
  <c r="M356" i="1" s="1"/>
  <c r="M300" i="1"/>
  <c r="Q300" i="4"/>
  <c r="M230" i="1"/>
  <c r="M234" i="1"/>
  <c r="M235" i="1" s="1"/>
  <c r="AD305" i="4"/>
  <c r="P292" i="4"/>
  <c r="J382" i="1"/>
  <c r="I394" i="1"/>
  <c r="I392" i="1"/>
  <c r="I391" i="1"/>
  <c r="E548" i="9" s="1"/>
  <c r="I390" i="1"/>
  <c r="H62" i="10"/>
  <c r="H111" i="10" s="1"/>
  <c r="H113" i="10" s="1"/>
  <c r="H119" i="10" s="1"/>
  <c r="I271" i="1"/>
  <c r="N380" i="1"/>
  <c r="O363" i="1"/>
  <c r="O380" i="1" s="1"/>
  <c r="O292" i="1"/>
  <c r="K368" i="1"/>
  <c r="K381" i="1" s="1"/>
  <c r="J288" i="1"/>
  <c r="L126" i="1"/>
  <c r="K120" i="1"/>
  <c r="I64" i="10"/>
  <c r="H96" i="10"/>
  <c r="H78" i="10"/>
  <c r="G98" i="10"/>
  <c r="G105" i="10"/>
  <c r="G107" i="10" s="1"/>
  <c r="G116" i="10" s="1"/>
  <c r="K59" i="13"/>
  <c r="M209" i="1"/>
  <c r="M240" i="1" s="1"/>
  <c r="H56" i="10"/>
  <c r="H34" i="10" s="1"/>
  <c r="N2" i="1"/>
  <c r="M231" i="1"/>
  <c r="H59" i="10"/>
  <c r="H77" i="10" s="1"/>
  <c r="O224" i="1"/>
  <c r="J63" i="10" s="1"/>
  <c r="K63" i="10" s="1"/>
  <c r="N226" i="1"/>
  <c r="N229" i="1"/>
  <c r="J65" i="10"/>
  <c r="O270" i="1"/>
  <c r="O281" i="1"/>
  <c r="O51" i="1" s="1"/>
  <c r="I65" i="10"/>
  <c r="I83" i="10" s="1"/>
  <c r="N281" i="1"/>
  <c r="N51" i="1" s="1"/>
  <c r="N270" i="1"/>
  <c r="I60" i="10"/>
  <c r="J60" i="10"/>
  <c r="K60" i="10" s="1"/>
  <c r="N5" i="3"/>
  <c r="O5" i="3" s="1"/>
  <c r="P5" i="3" s="1"/>
  <c r="Q5" i="3" s="1"/>
  <c r="R5" i="3" s="1"/>
  <c r="S5" i="3" s="1"/>
  <c r="T5" i="3" s="1"/>
  <c r="U5" i="3" s="1"/>
  <c r="BA22" i="3" s="1"/>
  <c r="N5" i="2"/>
  <c r="O5" i="2" s="1"/>
  <c r="P5" i="2" s="1"/>
  <c r="Q5" i="2" s="1"/>
  <c r="R5" i="2" s="1"/>
  <c r="S5" i="2" s="1"/>
  <c r="T5" i="2" s="1"/>
  <c r="U5" i="2" s="1"/>
  <c r="BA66" i="2" s="1"/>
  <c r="O303" i="4" l="1"/>
  <c r="O305" i="4" s="1"/>
  <c r="O315" i="4" s="1"/>
  <c r="O309" i="4"/>
  <c r="J144" i="9" s="1"/>
  <c r="N313" i="4"/>
  <c r="N305" i="4"/>
  <c r="N315" i="4" s="1"/>
  <c r="AE315" i="4" s="1"/>
  <c r="N309" i="4"/>
  <c r="I144" i="9" s="1"/>
  <c r="P293" i="4"/>
  <c r="P303" i="4" s="1"/>
  <c r="Q298" i="4"/>
  <c r="Q293" i="4" s="1"/>
  <c r="T81" i="4"/>
  <c r="T101" i="4"/>
  <c r="T105" i="4" s="1"/>
  <c r="T107" i="4" s="1"/>
  <c r="T120" i="4" s="1"/>
  <c r="L317" i="4"/>
  <c r="L318" i="4"/>
  <c r="G145" i="9" s="1"/>
  <c r="AE303" i="4"/>
  <c r="M317" i="4"/>
  <c r="M318" i="4"/>
  <c r="J83" i="10"/>
  <c r="K83" i="10" s="1"/>
  <c r="K65" i="10"/>
  <c r="I402" i="1"/>
  <c r="I399" i="1"/>
  <c r="I397" i="1"/>
  <c r="I398" i="1"/>
  <c r="J406" i="1"/>
  <c r="J403" i="1" s="1"/>
  <c r="I404" i="1"/>
  <c r="I401" i="1"/>
  <c r="I405" i="1"/>
  <c r="I403" i="1"/>
  <c r="J393" i="1"/>
  <c r="J386" i="1"/>
  <c r="J387" i="1"/>
  <c r="J385" i="1"/>
  <c r="J388" i="1"/>
  <c r="J389" i="1"/>
  <c r="O359" i="1"/>
  <c r="O357" i="1" s="1"/>
  <c r="O377" i="1" s="1"/>
  <c r="N311" i="1"/>
  <c r="N329" i="1" s="1"/>
  <c r="N351" i="1" s="1"/>
  <c r="N356" i="1" s="1"/>
  <c r="N300" i="1"/>
  <c r="AD315" i="4"/>
  <c r="AC316" i="4"/>
  <c r="N230" i="1"/>
  <c r="N234" i="1"/>
  <c r="N235" i="1" s="1"/>
  <c r="K382" i="1"/>
  <c r="J394" i="1"/>
  <c r="J392" i="1"/>
  <c r="J390" i="1"/>
  <c r="J391" i="1"/>
  <c r="I62" i="10"/>
  <c r="I111" i="10" s="1"/>
  <c r="I113" i="10" s="1"/>
  <c r="I119" i="10" s="1"/>
  <c r="J271" i="1"/>
  <c r="I266" i="1"/>
  <c r="I272" i="1"/>
  <c r="J64" i="10"/>
  <c r="K64" i="10" s="1"/>
  <c r="L368" i="1"/>
  <c r="L381" i="1" s="1"/>
  <c r="K288" i="1"/>
  <c r="M126" i="1"/>
  <c r="L120" i="1"/>
  <c r="J96" i="10"/>
  <c r="J78" i="10"/>
  <c r="K78" i="10" s="1"/>
  <c r="I96" i="10"/>
  <c r="I78" i="10"/>
  <c r="H98" i="10"/>
  <c r="G95" i="10"/>
  <c r="H105" i="10"/>
  <c r="H107" i="10" s="1"/>
  <c r="H116" i="10" s="1"/>
  <c r="O45" i="1"/>
  <c r="BA86" i="2"/>
  <c r="N209" i="1"/>
  <c r="N240" i="1" s="1"/>
  <c r="O2" i="1"/>
  <c r="I56" i="10"/>
  <c r="I34" i="10" s="1"/>
  <c r="N231" i="1"/>
  <c r="I59" i="10"/>
  <c r="I77" i="10" s="1"/>
  <c r="O226" i="1"/>
  <c r="O229" i="1"/>
  <c r="BA23" i="2"/>
  <c r="AZ31" i="2"/>
  <c r="AZ28" i="2"/>
  <c r="AZ29" i="2"/>
  <c r="AZ14" i="3"/>
  <c r="AZ21" i="3"/>
  <c r="AZ19" i="3"/>
  <c r="AZ38" i="3"/>
  <c r="AZ32" i="3"/>
  <c r="BA29" i="3"/>
  <c r="BA38" i="3"/>
  <c r="BA31" i="3"/>
  <c r="BA37" i="3"/>
  <c r="BA24" i="3"/>
  <c r="BA44" i="3"/>
  <c r="AZ42" i="3"/>
  <c r="AZ27" i="3"/>
  <c r="AZ13" i="3"/>
  <c r="BA13" i="3"/>
  <c r="AZ44" i="3"/>
  <c r="AZ33" i="3"/>
  <c r="BA34" i="3"/>
  <c r="AZ35" i="3"/>
  <c r="AZ30" i="3"/>
  <c r="BA32" i="3"/>
  <c r="BA23" i="3"/>
  <c r="BA11" i="3"/>
  <c r="BA35" i="3"/>
  <c r="BA9" i="3"/>
  <c r="BA27" i="3"/>
  <c r="AZ43" i="3"/>
  <c r="AZ20" i="3"/>
  <c r="AZ9" i="3"/>
  <c r="BA17" i="3"/>
  <c r="BA12" i="3"/>
  <c r="BA28" i="3"/>
  <c r="AZ17" i="3"/>
  <c r="AZ11" i="3"/>
  <c r="AZ36" i="3"/>
  <c r="AZ31" i="3"/>
  <c r="AZ29" i="3"/>
  <c r="AZ28" i="3"/>
  <c r="BA30" i="3"/>
  <c r="BA21" i="3"/>
  <c r="AZ22" i="3"/>
  <c r="BA20" i="3"/>
  <c r="BA42" i="3"/>
  <c r="AZ37" i="3"/>
  <c r="AZ24" i="3"/>
  <c r="AZ23" i="3"/>
  <c r="BA14" i="3"/>
  <c r="AZ12" i="3"/>
  <c r="BA39" i="3"/>
  <c r="AZ39" i="3"/>
  <c r="BA19" i="3"/>
  <c r="BA36" i="3"/>
  <c r="BA33" i="3"/>
  <c r="AZ34" i="3"/>
  <c r="BA43" i="3"/>
  <c r="AZ103" i="2"/>
  <c r="BA136" i="2"/>
  <c r="AZ106" i="2"/>
  <c r="AZ78" i="2"/>
  <c r="BA129" i="2"/>
  <c r="BA54" i="2"/>
  <c r="AZ97" i="2"/>
  <c r="AZ25" i="2"/>
  <c r="AZ108" i="2"/>
  <c r="BA131" i="2"/>
  <c r="AZ44" i="2"/>
  <c r="AZ62" i="2"/>
  <c r="BA85" i="2"/>
  <c r="AZ127" i="2"/>
  <c r="BA83" i="2"/>
  <c r="BA127" i="2"/>
  <c r="AZ26" i="2"/>
  <c r="AZ38" i="2"/>
  <c r="BA75" i="2"/>
  <c r="BA71" i="2"/>
  <c r="BA84" i="2"/>
  <c r="AZ111" i="2"/>
  <c r="BA110" i="2"/>
  <c r="BA81" i="2"/>
  <c r="BA94" i="2"/>
  <c r="BA87" i="2"/>
  <c r="AZ69" i="2"/>
  <c r="BA43" i="2"/>
  <c r="AZ114" i="2"/>
  <c r="AZ113" i="2"/>
  <c r="BA57" i="2"/>
  <c r="BA105" i="2"/>
  <c r="AZ131" i="2"/>
  <c r="AZ46" i="2"/>
  <c r="AZ23" i="2"/>
  <c r="BA28" i="2"/>
  <c r="AZ55" i="2"/>
  <c r="AZ92" i="2"/>
  <c r="AZ10" i="2"/>
  <c r="AZ112" i="2"/>
  <c r="BA78" i="2"/>
  <c r="BA76" i="2"/>
  <c r="AZ57" i="2"/>
  <c r="AZ104" i="2"/>
  <c r="BA38" i="2"/>
  <c r="AZ42" i="2"/>
  <c r="AZ45" i="2"/>
  <c r="AZ67" i="2"/>
  <c r="AZ35" i="2"/>
  <c r="BA35" i="2"/>
  <c r="BA79" i="2"/>
  <c r="AZ52" i="2"/>
  <c r="BA113" i="2"/>
  <c r="AZ88" i="2"/>
  <c r="BA133" i="2"/>
  <c r="AZ43" i="2"/>
  <c r="BA58" i="2"/>
  <c r="AZ73" i="2"/>
  <c r="BA39" i="2"/>
  <c r="BA128" i="2"/>
  <c r="AZ94" i="2"/>
  <c r="AZ84" i="2"/>
  <c r="BA107" i="2"/>
  <c r="BA63" i="2"/>
  <c r="BA21" i="2"/>
  <c r="BA70" i="2"/>
  <c r="BA92" i="2"/>
  <c r="AZ133" i="2"/>
  <c r="BA88" i="2"/>
  <c r="BA11" i="2"/>
  <c r="AZ11" i="2"/>
  <c r="BA135" i="2"/>
  <c r="BA51" i="2"/>
  <c r="BA31" i="2"/>
  <c r="BA10" i="2"/>
  <c r="BA24" i="2"/>
  <c r="AZ49" i="2"/>
  <c r="AZ20" i="2"/>
  <c r="BA73" i="2"/>
  <c r="BA98" i="2"/>
  <c r="AZ8" i="2"/>
  <c r="AZ99" i="2"/>
  <c r="AZ36" i="2"/>
  <c r="AZ128" i="2"/>
  <c r="BA67" i="2"/>
  <c r="AZ135" i="2"/>
  <c r="AZ105" i="2"/>
  <c r="AZ76" i="2"/>
  <c r="BA8" i="2"/>
  <c r="AZ85" i="2"/>
  <c r="AZ71" i="2"/>
  <c r="BA108" i="2"/>
  <c r="AZ96" i="2"/>
  <c r="BA61" i="2"/>
  <c r="AZ33" i="2"/>
  <c r="BA22" i="2"/>
  <c r="AZ83" i="2"/>
  <c r="AZ75" i="2"/>
  <c r="AZ107" i="2"/>
  <c r="BA47" i="2"/>
  <c r="AZ50" i="2"/>
  <c r="BA114" i="2"/>
  <c r="BA101" i="2"/>
  <c r="AZ51" i="2"/>
  <c r="AZ56" i="2"/>
  <c r="AZ110" i="2"/>
  <c r="BA46" i="2"/>
  <c r="BA40" i="2"/>
  <c r="BA55" i="2"/>
  <c r="BA53" i="2"/>
  <c r="AZ80" i="2"/>
  <c r="BA27" i="2"/>
  <c r="BA19" i="2"/>
  <c r="BA112" i="2"/>
  <c r="AZ93" i="2"/>
  <c r="BA99" i="2"/>
  <c r="AZ130" i="2"/>
  <c r="AZ40" i="2"/>
  <c r="AZ102" i="2"/>
  <c r="AZ134" i="2"/>
  <c r="AZ27" i="2"/>
  <c r="BA17" i="2"/>
  <c r="AZ54" i="2"/>
  <c r="BA96" i="2"/>
  <c r="AZ77" i="2"/>
  <c r="AZ89" i="2"/>
  <c r="AZ72" i="2"/>
  <c r="BA77" i="2"/>
  <c r="AZ129" i="2"/>
  <c r="BA115" i="2"/>
  <c r="AZ19" i="2"/>
  <c r="BA97" i="2"/>
  <c r="AZ17" i="2"/>
  <c r="BA25" i="2"/>
  <c r="AZ74" i="2"/>
  <c r="BA100" i="2"/>
  <c r="BA93" i="2"/>
  <c r="AZ98" i="2"/>
  <c r="AZ61" i="2"/>
  <c r="BA49" i="2"/>
  <c r="AZ87" i="2"/>
  <c r="AZ79" i="2"/>
  <c r="AZ47" i="2"/>
  <c r="AZ58" i="2"/>
  <c r="BA26" i="2"/>
  <c r="AZ132" i="2"/>
  <c r="BA89" i="2"/>
  <c r="AZ63" i="2"/>
  <c r="AZ53" i="2"/>
  <c r="BA132" i="2"/>
  <c r="BA130" i="2"/>
  <c r="BA134" i="2"/>
  <c r="BA72" i="2"/>
  <c r="AZ24" i="2"/>
  <c r="AZ115" i="2"/>
  <c r="BA62" i="2"/>
  <c r="AZ22" i="2"/>
  <c r="AZ37" i="2"/>
  <c r="AZ95" i="2"/>
  <c r="BA56" i="2"/>
  <c r="BA102" i="2"/>
  <c r="AZ86" i="2"/>
  <c r="AZ116" i="2"/>
  <c r="BA116" i="2"/>
  <c r="BA42" i="2"/>
  <c r="AZ39" i="2"/>
  <c r="BA52" i="2"/>
  <c r="AZ109" i="2"/>
  <c r="AZ81" i="2"/>
  <c r="AZ68" i="2"/>
  <c r="BA69" i="2"/>
  <c r="AZ100" i="2"/>
  <c r="BA103" i="2"/>
  <c r="BA109" i="2"/>
  <c r="AZ66" i="2"/>
  <c r="BA36" i="2"/>
  <c r="BA106" i="2"/>
  <c r="BA104" i="2"/>
  <c r="BA50" i="2"/>
  <c r="BA20" i="2"/>
  <c r="AZ101" i="2"/>
  <c r="BA29" i="2"/>
  <c r="BA68" i="2"/>
  <c r="BA45" i="2"/>
  <c r="BA37" i="2"/>
  <c r="BA33" i="2"/>
  <c r="BA111" i="2"/>
  <c r="BA44" i="2"/>
  <c r="AZ21" i="2"/>
  <c r="BA80" i="2"/>
  <c r="BA74" i="2"/>
  <c r="AZ70" i="2"/>
  <c r="BA95" i="2"/>
  <c r="AZ136" i="2"/>
  <c r="Q299" i="4" l="1"/>
  <c r="Q294" i="4" s="1"/>
  <c r="Q303" i="4" s="1"/>
  <c r="AF303" i="4"/>
  <c r="O313" i="4"/>
  <c r="O316" i="4" s="1"/>
  <c r="AE305" i="4"/>
  <c r="T148" i="4"/>
  <c r="T170" i="4" s="1"/>
  <c r="T180" i="4" s="1"/>
  <c r="AG303" i="4"/>
  <c r="P309" i="4"/>
  <c r="K144" i="9" s="1"/>
  <c r="P313" i="4"/>
  <c r="AG313" i="4" s="1"/>
  <c r="P305" i="4"/>
  <c r="P310" i="4" s="1"/>
  <c r="N316" i="4"/>
  <c r="AE313" i="4"/>
  <c r="T110" i="4"/>
  <c r="J400" i="1"/>
  <c r="J397" i="1"/>
  <c r="J399" i="1"/>
  <c r="J398" i="1"/>
  <c r="J404" i="1"/>
  <c r="J405" i="1"/>
  <c r="J401" i="1"/>
  <c r="K406" i="1"/>
  <c r="K401" i="1" s="1"/>
  <c r="J402" i="1"/>
  <c r="K393" i="1"/>
  <c r="K386" i="1"/>
  <c r="K387" i="1"/>
  <c r="K385" i="1"/>
  <c r="K388" i="1"/>
  <c r="K389" i="1"/>
  <c r="O311" i="1"/>
  <c r="O329" i="1" s="1"/>
  <c r="O351" i="1" s="1"/>
  <c r="O356" i="1" s="1"/>
  <c r="O300" i="1"/>
  <c r="H145" i="9"/>
  <c r="AD316" i="4"/>
  <c r="O230" i="1"/>
  <c r="O234" i="1"/>
  <c r="O235" i="1" s="1"/>
  <c r="AF315" i="4"/>
  <c r="AF305" i="4"/>
  <c r="AF313" i="4"/>
  <c r="L382" i="1"/>
  <c r="K390" i="1"/>
  <c r="K391" i="1"/>
  <c r="K394" i="1"/>
  <c r="K392" i="1"/>
  <c r="K271" i="1"/>
  <c r="I268" i="1"/>
  <c r="H32" i="13"/>
  <c r="I260" i="1"/>
  <c r="J266" i="1"/>
  <c r="J272" i="1"/>
  <c r="J62" i="10"/>
  <c r="M368" i="1"/>
  <c r="M381" i="1" s="1"/>
  <c r="L288" i="1"/>
  <c r="N126" i="1"/>
  <c r="M120" i="1"/>
  <c r="BA139" i="2"/>
  <c r="I98" i="10"/>
  <c r="H95" i="10"/>
  <c r="I105" i="10"/>
  <c r="I107" i="10" s="1"/>
  <c r="I116" i="10" s="1"/>
  <c r="J56" i="10"/>
  <c r="J34" i="10" s="1"/>
  <c r="O209" i="1"/>
  <c r="O240" i="1" s="1"/>
  <c r="O231" i="1"/>
  <c r="J59" i="10"/>
  <c r="BA55" i="3"/>
  <c r="BA141" i="2"/>
  <c r="BA58" i="3"/>
  <c r="BA57" i="3"/>
  <c r="BA56" i="3"/>
  <c r="BA60" i="3"/>
  <c r="I13" i="1"/>
  <c r="J14" i="17" s="1"/>
  <c r="N14" i="17" s="1"/>
  <c r="I222" i="1"/>
  <c r="Q313" i="4" l="1"/>
  <c r="AH313" i="4" s="1"/>
  <c r="Q305" i="4"/>
  <c r="AH303" i="4"/>
  <c r="Q309" i="4"/>
  <c r="L144" i="9" s="1"/>
  <c r="O318" i="4"/>
  <c r="O317" i="4"/>
  <c r="AG305" i="4"/>
  <c r="P315" i="4"/>
  <c r="AG315" i="4" s="1"/>
  <c r="N318" i="4"/>
  <c r="N317" i="4"/>
  <c r="I324" i="1"/>
  <c r="D537" i="7"/>
  <c r="J77" i="10"/>
  <c r="K77" i="10" s="1"/>
  <c r="K59" i="10"/>
  <c r="J111" i="10"/>
  <c r="J113" i="10" s="1"/>
  <c r="J119" i="10" s="1"/>
  <c r="J98" i="10" s="1"/>
  <c r="K62" i="10"/>
  <c r="K399" i="1"/>
  <c r="K398" i="1"/>
  <c r="K397" i="1"/>
  <c r="K400" i="1"/>
  <c r="K402" i="1"/>
  <c r="K405" i="1"/>
  <c r="K404" i="1"/>
  <c r="K403" i="1"/>
  <c r="L406" i="1"/>
  <c r="L398" i="1" s="1"/>
  <c r="L393" i="1"/>
  <c r="L386" i="1"/>
  <c r="L387" i="1"/>
  <c r="L385" i="1"/>
  <c r="L388" i="1"/>
  <c r="L389" i="1"/>
  <c r="I145" i="9"/>
  <c r="AE316" i="4"/>
  <c r="M382" i="1"/>
  <c r="L392" i="1"/>
  <c r="L394" i="1"/>
  <c r="L391" i="1"/>
  <c r="L390" i="1"/>
  <c r="I283" i="1"/>
  <c r="I22" i="1"/>
  <c r="J13" i="17" s="1"/>
  <c r="D61" i="10"/>
  <c r="I366" i="1"/>
  <c r="I261" i="1"/>
  <c r="I264" i="1"/>
  <c r="I370" i="1"/>
  <c r="I296" i="1"/>
  <c r="H26" i="13"/>
  <c r="H33" i="13"/>
  <c r="H71" i="13"/>
  <c r="L271" i="1"/>
  <c r="J268" i="1"/>
  <c r="I32" i="13"/>
  <c r="J260" i="1"/>
  <c r="K266" i="1"/>
  <c r="K272" i="1"/>
  <c r="N368" i="1"/>
  <c r="N381" i="1" s="1"/>
  <c r="M288" i="1"/>
  <c r="O126" i="1"/>
  <c r="O120" i="1" s="1"/>
  <c r="N120" i="1"/>
  <c r="I95" i="10"/>
  <c r="J105" i="10"/>
  <c r="J107" i="10" s="1"/>
  <c r="J116" i="10" s="1"/>
  <c r="H14" i="13"/>
  <c r="P316" i="4" l="1"/>
  <c r="P318" i="4" s="1"/>
  <c r="K145" i="9" s="1"/>
  <c r="AH305" i="4"/>
  <c r="Q310" i="4"/>
  <c r="Q315" i="4"/>
  <c r="J324" i="1"/>
  <c r="E537" i="7"/>
  <c r="L404" i="1"/>
  <c r="D79" i="10"/>
  <c r="L401" i="1"/>
  <c r="L403" i="1"/>
  <c r="L402" i="1"/>
  <c r="M406" i="1"/>
  <c r="M402" i="1" s="1"/>
  <c r="L397" i="1"/>
  <c r="L400" i="1"/>
  <c r="L405" i="1"/>
  <c r="L399" i="1"/>
  <c r="M393" i="1"/>
  <c r="M386" i="1"/>
  <c r="M387" i="1"/>
  <c r="M385" i="1"/>
  <c r="M388" i="1"/>
  <c r="M389" i="1"/>
  <c r="J145" i="9"/>
  <c r="AF316" i="4"/>
  <c r="P317" i="4"/>
  <c r="AG316" i="4"/>
  <c r="N382" i="1"/>
  <c r="M391" i="1"/>
  <c r="M394" i="1"/>
  <c r="M392" i="1"/>
  <c r="M390" i="1"/>
  <c r="I54" i="1"/>
  <c r="J283" i="1"/>
  <c r="E61" i="10"/>
  <c r="E79" i="10" s="1"/>
  <c r="I26" i="13"/>
  <c r="J366" i="1"/>
  <c r="J296" i="1"/>
  <c r="J264" i="1"/>
  <c r="J22" i="1"/>
  <c r="K13" i="17" s="1"/>
  <c r="J261" i="1"/>
  <c r="J370" i="1"/>
  <c r="I33" i="13"/>
  <c r="I71" i="13"/>
  <c r="L266" i="1"/>
  <c r="L272" i="1"/>
  <c r="M271" i="1"/>
  <c r="D67" i="10"/>
  <c r="D41" i="10" s="1"/>
  <c r="J5" i="17" s="1"/>
  <c r="E5" i="10"/>
  <c r="G5" i="10" s="1"/>
  <c r="K268" i="1"/>
  <c r="J32" i="13"/>
  <c r="K260" i="1"/>
  <c r="F537" i="7" s="1"/>
  <c r="H63" i="13"/>
  <c r="H27" i="13"/>
  <c r="O368" i="1"/>
  <c r="O381" i="1" s="1"/>
  <c r="N288" i="1"/>
  <c r="H15" i="13"/>
  <c r="I15" i="13"/>
  <c r="H59" i="13"/>
  <c r="H16" i="13"/>
  <c r="J95" i="10"/>
  <c r="AH315" i="4" l="1"/>
  <c r="Q316" i="4"/>
  <c r="I95" i="1"/>
  <c r="S139" i="4" s="1"/>
  <c r="S149" i="4" s="1"/>
  <c r="I188" i="1"/>
  <c r="S177" i="4" s="1"/>
  <c r="I160" i="1"/>
  <c r="D538" i="7"/>
  <c r="J12" i="17"/>
  <c r="C13" i="17"/>
  <c r="K324" i="1"/>
  <c r="M397" i="1"/>
  <c r="M399" i="1"/>
  <c r="M398" i="1"/>
  <c r="M400" i="1"/>
  <c r="N64" i="10"/>
  <c r="N61" i="10"/>
  <c r="N63" i="10"/>
  <c r="N58" i="10"/>
  <c r="N59" i="10"/>
  <c r="N60" i="10"/>
  <c r="N62" i="10"/>
  <c r="M401" i="1"/>
  <c r="M404" i="1"/>
  <c r="N406" i="1"/>
  <c r="N405" i="1" s="1"/>
  <c r="M405" i="1"/>
  <c r="M403" i="1"/>
  <c r="N393" i="1"/>
  <c r="N386" i="1"/>
  <c r="N387" i="1"/>
  <c r="N385" i="1"/>
  <c r="N388" i="1"/>
  <c r="N389" i="1"/>
  <c r="I4" i="15"/>
  <c r="H7" i="13"/>
  <c r="H54" i="13" s="1"/>
  <c r="I56" i="1"/>
  <c r="O382" i="1"/>
  <c r="N390" i="1"/>
  <c r="N391" i="1"/>
  <c r="N392" i="1"/>
  <c r="N394" i="1"/>
  <c r="D89" i="10"/>
  <c r="D88" i="10"/>
  <c r="D92" i="10"/>
  <c r="D91" i="10"/>
  <c r="J54" i="1"/>
  <c r="M266" i="1"/>
  <c r="M272" i="1"/>
  <c r="K283" i="1"/>
  <c r="K22" i="1"/>
  <c r="K366" i="1"/>
  <c r="F61" i="10"/>
  <c r="F79" i="10" s="1"/>
  <c r="K296" i="1"/>
  <c r="K261" i="1"/>
  <c r="K264" i="1"/>
  <c r="J26" i="13"/>
  <c r="K370" i="1"/>
  <c r="J33" i="13"/>
  <c r="J71" i="13"/>
  <c r="L268" i="1"/>
  <c r="K32" i="13"/>
  <c r="L260" i="1"/>
  <c r="G537" i="7" s="1"/>
  <c r="N271" i="1"/>
  <c r="I63" i="13"/>
  <c r="I27" i="13"/>
  <c r="D90" i="10"/>
  <c r="E67" i="10"/>
  <c r="O288" i="1"/>
  <c r="AH316" i="4" l="1"/>
  <c r="Q318" i="4"/>
  <c r="L145" i="9" s="1"/>
  <c r="Q317" i="4"/>
  <c r="L13" i="17"/>
  <c r="K54" i="1"/>
  <c r="J95" i="1"/>
  <c r="W139" i="4" s="1"/>
  <c r="W149" i="4" s="1"/>
  <c r="J188" i="1"/>
  <c r="W177" i="4" s="1"/>
  <c r="K4" i="15"/>
  <c r="D37" i="15"/>
  <c r="E538" i="7"/>
  <c r="K12" i="17"/>
  <c r="D13" i="17"/>
  <c r="E90" i="10"/>
  <c r="L324" i="1"/>
  <c r="N399" i="1"/>
  <c r="N398" i="1"/>
  <c r="N397" i="1"/>
  <c r="N400" i="1"/>
  <c r="H8" i="13"/>
  <c r="N403" i="1"/>
  <c r="N401" i="1"/>
  <c r="N402" i="1"/>
  <c r="O406" i="1"/>
  <c r="O405" i="1" s="1"/>
  <c r="N404" i="1"/>
  <c r="O393" i="1"/>
  <c r="O386" i="1"/>
  <c r="O387" i="1"/>
  <c r="O385" i="1"/>
  <c r="O388" i="1"/>
  <c r="O389" i="1"/>
  <c r="O391" i="1"/>
  <c r="O392" i="1"/>
  <c r="O394" i="1"/>
  <c r="O390" i="1"/>
  <c r="L261" i="1"/>
  <c r="L296" i="1"/>
  <c r="K26" i="13"/>
  <c r="L22" i="1"/>
  <c r="M13" i="17" s="1"/>
  <c r="N13" i="17" s="1"/>
  <c r="G61" i="10"/>
  <c r="G79" i="10" s="1"/>
  <c r="L366" i="1"/>
  <c r="L264" i="1"/>
  <c r="L283" i="1"/>
  <c r="L370" i="1"/>
  <c r="M268" i="1"/>
  <c r="M260" i="1"/>
  <c r="H537" i="7" s="1"/>
  <c r="E91" i="10"/>
  <c r="E89" i="10"/>
  <c r="E92" i="10"/>
  <c r="E88" i="10"/>
  <c r="K33" i="13"/>
  <c r="K71" i="13"/>
  <c r="F67" i="10"/>
  <c r="I7" i="13"/>
  <c r="J56" i="1"/>
  <c r="O271" i="1"/>
  <c r="N266" i="1"/>
  <c r="N272" i="1"/>
  <c r="J27" i="13"/>
  <c r="J63" i="13"/>
  <c r="S13" i="4"/>
  <c r="D34" i="15" s="1"/>
  <c r="AI13" i="4"/>
  <c r="J160" i="1" l="1"/>
  <c r="K95" i="1"/>
  <c r="K160" i="1" s="1"/>
  <c r="K188" i="1"/>
  <c r="F538" i="7"/>
  <c r="L12" i="17"/>
  <c r="E13" i="17"/>
  <c r="S12" i="4"/>
  <c r="AN13" i="4"/>
  <c r="M324" i="1"/>
  <c r="O398" i="1"/>
  <c r="O397" i="1"/>
  <c r="O399" i="1"/>
  <c r="O400" i="1"/>
  <c r="O401" i="1"/>
  <c r="O402" i="1"/>
  <c r="O404" i="1"/>
  <c r="O403" i="1"/>
  <c r="N268" i="1"/>
  <c r="N260" i="1"/>
  <c r="N324" i="1" s="1"/>
  <c r="I54" i="13"/>
  <c r="I8" i="13"/>
  <c r="O266" i="1"/>
  <c r="O272" i="1"/>
  <c r="G67" i="10"/>
  <c r="L54" i="1"/>
  <c r="K56" i="1"/>
  <c r="J7" i="13"/>
  <c r="F88" i="10"/>
  <c r="F92" i="10"/>
  <c r="F89" i="10"/>
  <c r="F91" i="10"/>
  <c r="M283" i="1"/>
  <c r="M22" i="1"/>
  <c r="M366" i="1"/>
  <c r="H61" i="10"/>
  <c r="H79" i="10" s="1"/>
  <c r="M261" i="1"/>
  <c r="M264" i="1"/>
  <c r="M296" i="1"/>
  <c r="M370" i="1"/>
  <c r="K63" i="13"/>
  <c r="K27" i="13"/>
  <c r="F90" i="10"/>
  <c r="G14" i="13"/>
  <c r="AJ13" i="4"/>
  <c r="S204" i="4"/>
  <c r="AN204" i="4" s="1"/>
  <c r="S14" i="4"/>
  <c r="L95" i="1" l="1"/>
  <c r="L160" i="1" s="1"/>
  <c r="L188" i="1"/>
  <c r="G538" i="7"/>
  <c r="M12" i="17"/>
  <c r="N12" i="17" s="1"/>
  <c r="F13" i="17"/>
  <c r="G13" i="17" s="1"/>
  <c r="G90" i="10"/>
  <c r="K7" i="13"/>
  <c r="L56" i="1"/>
  <c r="O268" i="1"/>
  <c r="O260" i="1"/>
  <c r="O324" i="1" s="1"/>
  <c r="H67" i="10"/>
  <c r="J8" i="13"/>
  <c r="J54" i="13"/>
  <c r="G92" i="10"/>
  <c r="G88" i="10"/>
  <c r="G91" i="10"/>
  <c r="G89" i="10"/>
  <c r="M54" i="1"/>
  <c r="N283" i="1"/>
  <c r="I61" i="10"/>
  <c r="I79" i="10" s="1"/>
  <c r="N366" i="1"/>
  <c r="N264" i="1"/>
  <c r="N296" i="1"/>
  <c r="N261" i="1"/>
  <c r="N22" i="1"/>
  <c r="N370" i="1"/>
  <c r="G59" i="13"/>
  <c r="G16" i="13"/>
  <c r="S205" i="4"/>
  <c r="AJ204" i="4"/>
  <c r="F23" i="15" s="1"/>
  <c r="Q256" i="4"/>
  <c r="Q270" i="4"/>
  <c r="AH270" i="4" s="1"/>
  <c r="M95" i="1" l="1"/>
  <c r="M160" i="1" s="1"/>
  <c r="M188" i="1"/>
  <c r="H538" i="7"/>
  <c r="H90" i="10"/>
  <c r="N54" i="1"/>
  <c r="M56" i="1"/>
  <c r="H89" i="10"/>
  <c r="H88" i="10"/>
  <c r="H92" i="10"/>
  <c r="H91" i="10"/>
  <c r="O283" i="1"/>
  <c r="O264" i="1"/>
  <c r="O296" i="1"/>
  <c r="O261" i="1"/>
  <c r="O22" i="1"/>
  <c r="O366" i="1"/>
  <c r="J61" i="10"/>
  <c r="O370" i="1"/>
  <c r="I67" i="10"/>
  <c r="K8" i="13"/>
  <c r="K54" i="13"/>
  <c r="E26" i="13"/>
  <c r="E32" i="13" s="1"/>
  <c r="E71" i="13" s="1"/>
  <c r="AJ205" i="4"/>
  <c r="AN205" i="4"/>
  <c r="Q271" i="4"/>
  <c r="N95" i="1" l="1"/>
  <c r="N160" i="1" s="1"/>
  <c r="N188" i="1"/>
  <c r="I90" i="10"/>
  <c r="J79" i="10"/>
  <c r="K79" i="10" s="1"/>
  <c r="K61" i="10"/>
  <c r="Q96" i="4"/>
  <c r="J67" i="10"/>
  <c r="O54" i="1"/>
  <c r="I91" i="10"/>
  <c r="I88" i="10"/>
  <c r="I92" i="10"/>
  <c r="I89" i="10"/>
  <c r="N56" i="1"/>
  <c r="E28" i="13"/>
  <c r="E63" i="13"/>
  <c r="E33" i="13"/>
  <c r="E7" i="13"/>
  <c r="E38" i="13" s="1"/>
  <c r="E40" i="13" s="1"/>
  <c r="L228" i="9"/>
  <c r="O95" i="1" l="1"/>
  <c r="O160" i="1" s="1"/>
  <c r="O188" i="1"/>
  <c r="J90" i="10"/>
  <c r="K67" i="10"/>
  <c r="AH96" i="4"/>
  <c r="H225" i="9" s="1"/>
  <c r="O56" i="1"/>
  <c r="J92" i="10"/>
  <c r="J88" i="10"/>
  <c r="J91" i="10"/>
  <c r="J89" i="10"/>
  <c r="E54" i="13"/>
  <c r="E9" i="13"/>
  <c r="R252" i="4"/>
  <c r="R286" i="4"/>
  <c r="R255" i="4" s="1"/>
  <c r="R30" i="4" s="1"/>
  <c r="R60" i="4" l="1"/>
  <c r="R178" i="4" s="1"/>
  <c r="AM30" i="4"/>
  <c r="R258" i="4"/>
  <c r="AI286" i="4"/>
  <c r="AM286" i="4"/>
  <c r="AM252" i="4"/>
  <c r="R253" i="4"/>
  <c r="AI252" i="4"/>
  <c r="R28" i="4"/>
  <c r="AM28" i="4" s="1"/>
  <c r="H4" i="15" l="1"/>
  <c r="D27" i="15" s="1"/>
  <c r="D30" i="15" s="1"/>
  <c r="F7" i="13"/>
  <c r="R140" i="4"/>
  <c r="AI258" i="4"/>
  <c r="AM258" i="4"/>
  <c r="F24" i="13"/>
  <c r="F62" i="13" s="1"/>
  <c r="AI28" i="4"/>
  <c r="R50" i="4"/>
  <c r="AI255" i="4"/>
  <c r="E21" i="15" s="1"/>
  <c r="R256" i="4"/>
  <c r="H48" i="9"/>
  <c r="R270" i="4"/>
  <c r="R271" i="4" l="1"/>
  <c r="AI270" i="4"/>
  <c r="R31" i="4"/>
  <c r="F26" i="13"/>
  <c r="F32" i="13" s="1"/>
  <c r="S30" i="4"/>
  <c r="AI30" i="4"/>
  <c r="F5" i="13"/>
  <c r="R29" i="4"/>
  <c r="I48" i="9" l="1"/>
  <c r="D33" i="15"/>
  <c r="R96" i="4"/>
  <c r="AI96" i="4" s="1"/>
  <c r="I225" i="9" s="1"/>
  <c r="R279" i="4"/>
  <c r="R77" i="4"/>
  <c r="F53" i="13"/>
  <c r="F33" i="13"/>
  <c r="F71" i="13"/>
  <c r="AI60" i="4"/>
  <c r="R61" i="4"/>
  <c r="S60" i="4"/>
  <c r="F38" i="13"/>
  <c r="R81" i="4"/>
  <c r="R94" i="4"/>
  <c r="S255" i="4"/>
  <c r="S258" i="4" s="1"/>
  <c r="AJ258" i="4" s="1"/>
  <c r="AJ30" i="4"/>
  <c r="G26" i="13"/>
  <c r="G32" i="13" s="1"/>
  <c r="F28" i="13"/>
  <c r="F63" i="13"/>
  <c r="R59" i="4"/>
  <c r="S140" i="4" l="1"/>
  <c r="S178" i="4"/>
  <c r="F8" i="13"/>
  <c r="F40" i="13" s="1"/>
  <c r="M228" i="9"/>
  <c r="R136" i="4"/>
  <c r="J4" i="15"/>
  <c r="H9" i="15"/>
  <c r="J9" i="15" s="1"/>
  <c r="H11" i="15"/>
  <c r="R78" i="4"/>
  <c r="AI77" i="4"/>
  <c r="G33" i="13"/>
  <c r="G71" i="13"/>
  <c r="S270" i="4"/>
  <c r="S271" i="4" s="1"/>
  <c r="F54" i="13"/>
  <c r="F9" i="13"/>
  <c r="AJ255" i="4"/>
  <c r="F21" i="15" s="1"/>
  <c r="AJ60" i="4"/>
  <c r="G7" i="13"/>
  <c r="G63" i="13"/>
  <c r="G8" i="13" l="1"/>
  <c r="AJ270" i="4"/>
  <c r="G54" i="13"/>
  <c r="S275" i="4"/>
  <c r="AH275" i="4"/>
  <c r="S276" i="4"/>
  <c r="AJ276" i="4" s="1"/>
  <c r="AH276" i="4"/>
  <c r="AL276" i="4"/>
  <c r="AL277" i="4"/>
  <c r="Q279" i="4"/>
  <c r="Q282" i="4"/>
  <c r="S282" i="4" l="1"/>
  <c r="AN276" i="4"/>
  <c r="AJ275" i="4"/>
  <c r="S277" i="4"/>
  <c r="AN275" i="4"/>
  <c r="AH277" i="4"/>
  <c r="AL275" i="4"/>
  <c r="AJ277" i="4" l="1"/>
  <c r="AN277" i="4"/>
  <c r="S286" i="4"/>
  <c r="S278" i="4"/>
  <c r="S279" i="4"/>
  <c r="AJ286" i="4" l="1"/>
  <c r="U285" i="4"/>
  <c r="U252" i="4" s="1"/>
  <c r="AH285" i="4"/>
  <c r="AH286" i="4"/>
  <c r="AL252" i="4" l="1"/>
  <c r="U28" i="4"/>
  <c r="AL28" i="4" s="1"/>
  <c r="U253" i="4"/>
  <c r="U286" i="4"/>
  <c r="AL286" i="4" l="1"/>
  <c r="U255" i="4"/>
  <c r="U258" i="4" s="1"/>
  <c r="AL258" i="4" s="1"/>
  <c r="U50" i="4"/>
  <c r="U256" i="4" l="1"/>
  <c r="U270" i="4"/>
  <c r="U271" i="4" s="1"/>
  <c r="U30" i="4"/>
  <c r="K48" i="9" l="1"/>
  <c r="AL30" i="4"/>
  <c r="W30" i="4"/>
  <c r="U31" i="4"/>
  <c r="U60" i="4"/>
  <c r="U29" i="4"/>
  <c r="U140" i="4" l="1"/>
  <c r="U178" i="4"/>
  <c r="M48" i="9"/>
  <c r="AN30" i="4"/>
  <c r="W60" i="4"/>
  <c r="U61" i="4"/>
  <c r="U93" i="4"/>
  <c r="U279" i="4"/>
  <c r="U59" i="4"/>
  <c r="W255" i="4"/>
  <c r="W258" i="4" s="1"/>
  <c r="AN258" i="4" s="1"/>
  <c r="W140" i="4" l="1"/>
  <c r="W178" i="4"/>
  <c r="U96" i="4"/>
  <c r="U145" i="4"/>
  <c r="U138" i="4" s="1"/>
  <c r="U80" i="4"/>
  <c r="W286" i="4"/>
  <c r="W270" i="4"/>
  <c r="W271" i="4" s="1"/>
  <c r="W279" i="4"/>
  <c r="AN286" i="4" l="1"/>
  <c r="U101" i="4"/>
  <c r="U81" i="4"/>
  <c r="U77" i="4"/>
  <c r="U78" i="4" s="1"/>
  <c r="U105" i="4" l="1"/>
  <c r="U148" i="4" s="1"/>
  <c r="U170" i="4" s="1"/>
  <c r="U180" i="4" s="1"/>
  <c r="U107" i="4" l="1"/>
  <c r="U120" i="4" l="1"/>
  <c r="U110" i="4"/>
  <c r="O252" i="9" l="1"/>
  <c r="S221" i="4"/>
  <c r="AJ221" i="4" s="1"/>
  <c r="AH221" i="4"/>
  <c r="S285" i="4"/>
  <c r="AJ285" i="4" s="1"/>
  <c r="I253" i="1"/>
  <c r="I256" i="1" s="1"/>
  <c r="J286" i="1"/>
  <c r="K286" i="1"/>
  <c r="K253" i="1" s="1"/>
  <c r="L286" i="1"/>
  <c r="L253" i="1" s="1"/>
  <c r="L20" i="1" s="1"/>
  <c r="M286" i="1"/>
  <c r="N286" i="1"/>
  <c r="O286" i="1"/>
  <c r="O253" i="1" s="1"/>
  <c r="O256" i="1" s="1"/>
  <c r="I287" i="1"/>
  <c r="N287" i="1" l="1"/>
  <c r="M287" i="1"/>
  <c r="M253" i="1"/>
  <c r="M20" i="1" s="1"/>
  <c r="S252" i="4"/>
  <c r="AJ252" i="4" s="1"/>
  <c r="H24" i="13"/>
  <c r="H28" i="13" s="1"/>
  <c r="I258" i="1"/>
  <c r="O287" i="1"/>
  <c r="N253" i="1"/>
  <c r="N254" i="1" s="1"/>
  <c r="L21" i="1"/>
  <c r="L41" i="1"/>
  <c r="L55" i="1" s="1"/>
  <c r="F14" i="17" s="1"/>
  <c r="L287" i="1"/>
  <c r="J253" i="1"/>
  <c r="K254" i="1" s="1"/>
  <c r="J287" i="1"/>
  <c r="W285" i="4"/>
  <c r="K287" i="1"/>
  <c r="J24" i="13"/>
  <c r="K258" i="1"/>
  <c r="K256" i="1"/>
  <c r="K20" i="1"/>
  <c r="K24" i="13"/>
  <c r="L258" i="1"/>
  <c r="L256" i="1"/>
  <c r="L254" i="1"/>
  <c r="O20" i="1"/>
  <c r="O258" i="1"/>
  <c r="I20" i="1"/>
  <c r="S287" i="4"/>
  <c r="I254" i="1"/>
  <c r="M254" i="1" l="1"/>
  <c r="M256" i="1"/>
  <c r="M258" i="1"/>
  <c r="F12" i="17"/>
  <c r="H25" i="13"/>
  <c r="H62" i="13"/>
  <c r="S28" i="4"/>
  <c r="AJ28" i="4" s="1"/>
  <c r="S253" i="4"/>
  <c r="S256" i="4"/>
  <c r="O254" i="1"/>
  <c r="N256" i="1"/>
  <c r="N258" i="1"/>
  <c r="N20" i="1"/>
  <c r="N21" i="1" s="1"/>
  <c r="K41" i="1"/>
  <c r="K55" i="1" s="1"/>
  <c r="E14" i="17" s="1"/>
  <c r="K21" i="1"/>
  <c r="K25" i="13"/>
  <c r="K28" i="13"/>
  <c r="K62" i="13"/>
  <c r="I41" i="1"/>
  <c r="I55" i="1" s="1"/>
  <c r="C14" i="17" s="1"/>
  <c r="I21" i="1"/>
  <c r="F435" i="9"/>
  <c r="I24" i="13"/>
  <c r="J25" i="13" s="1"/>
  <c r="J258" i="1"/>
  <c r="J256" i="1"/>
  <c r="J254" i="1"/>
  <c r="J20" i="1"/>
  <c r="W252" i="4"/>
  <c r="M41" i="1"/>
  <c r="M21" i="1"/>
  <c r="L71" i="1"/>
  <c r="K5" i="13"/>
  <c r="L53" i="1"/>
  <c r="AN285" i="4"/>
  <c r="W287" i="4"/>
  <c r="O41" i="1"/>
  <c r="O21" i="1"/>
  <c r="J28" i="13"/>
  <c r="J62" i="13"/>
  <c r="M55" i="1" l="1"/>
  <c r="O55" i="1"/>
  <c r="E12" i="17"/>
  <c r="C12" i="17"/>
  <c r="G12" i="17" s="1"/>
  <c r="D40" i="10"/>
  <c r="J4" i="17" s="1"/>
  <c r="S31" i="4"/>
  <c r="S29" i="4"/>
  <c r="G24" i="13"/>
  <c r="G28" i="13" s="1"/>
  <c r="N41" i="1"/>
  <c r="N55" i="1" s="1"/>
  <c r="AN252" i="4"/>
  <c r="W28" i="4"/>
  <c r="AN28" i="4" s="1"/>
  <c r="W253" i="4"/>
  <c r="W256" i="4"/>
  <c r="J41" i="1"/>
  <c r="J55" i="1" s="1"/>
  <c r="D14" i="17" s="1"/>
  <c r="J21" i="1"/>
  <c r="K53" i="13"/>
  <c r="K9" i="13"/>
  <c r="I166" i="1"/>
  <c r="H5" i="13"/>
  <c r="S50" i="4"/>
  <c r="I53" i="1"/>
  <c r="I71" i="1"/>
  <c r="O71" i="1"/>
  <c r="O53" i="1"/>
  <c r="L74" i="1"/>
  <c r="F15" i="17" s="1"/>
  <c r="G101" i="10"/>
  <c r="M71" i="1"/>
  <c r="M53" i="1"/>
  <c r="I28" i="13"/>
  <c r="I62" i="13"/>
  <c r="I25" i="13"/>
  <c r="K71" i="1"/>
  <c r="J5" i="13"/>
  <c r="K6" i="13" s="1"/>
  <c r="K53" i="1"/>
  <c r="D12" i="17" l="1"/>
  <c r="N53" i="1"/>
  <c r="G62" i="13"/>
  <c r="N71" i="1"/>
  <c r="I101" i="10" s="1"/>
  <c r="G122" i="10"/>
  <c r="G99" i="10"/>
  <c r="G120" i="10" s="1"/>
  <c r="E16" i="15"/>
  <c r="J68" i="1"/>
  <c r="D73" i="10"/>
  <c r="H9" i="13"/>
  <c r="H53" i="13"/>
  <c r="H6" i="13"/>
  <c r="J71" i="1"/>
  <c r="I5" i="13"/>
  <c r="J53" i="1"/>
  <c r="K35" i="13"/>
  <c r="L75" i="1"/>
  <c r="L107" i="1"/>
  <c r="L87" i="1"/>
  <c r="L101" i="1" s="1"/>
  <c r="L94" i="1" s="1"/>
  <c r="L102" i="1" s="1"/>
  <c r="O74" i="1"/>
  <c r="J101" i="10"/>
  <c r="G5" i="13"/>
  <c r="S59" i="4"/>
  <c r="S61" i="4"/>
  <c r="M74" i="1"/>
  <c r="H101" i="10"/>
  <c r="J53" i="13"/>
  <c r="J9" i="13"/>
  <c r="K74" i="1"/>
  <c r="E15" i="17" s="1"/>
  <c r="F101" i="10"/>
  <c r="W31" i="4"/>
  <c r="W29" i="4"/>
  <c r="W50" i="4"/>
  <c r="D101" i="10"/>
  <c r="I74" i="1"/>
  <c r="C15" i="17" s="1"/>
  <c r="G15" i="17" s="1"/>
  <c r="S77" i="4"/>
  <c r="J166" i="1" l="1"/>
  <c r="W74" i="4"/>
  <c r="W155" i="4" s="1"/>
  <c r="N74" i="1"/>
  <c r="N107" i="1" s="1"/>
  <c r="F17" i="17"/>
  <c r="G129" i="10"/>
  <c r="O107" i="1"/>
  <c r="O87" i="1"/>
  <c r="O75" i="1"/>
  <c r="D99" i="10"/>
  <c r="D120" i="10" s="1"/>
  <c r="E8" i="10" s="1"/>
  <c r="D122" i="10"/>
  <c r="L88" i="1"/>
  <c r="K37" i="13"/>
  <c r="L90" i="1"/>
  <c r="M87" i="1"/>
  <c r="M75" i="1"/>
  <c r="M107" i="1"/>
  <c r="D71" i="10"/>
  <c r="D81" i="10" s="1"/>
  <c r="H122" i="10"/>
  <c r="H99" i="10"/>
  <c r="H120" i="10" s="1"/>
  <c r="K73" i="13"/>
  <c r="K55" i="13"/>
  <c r="K68" i="1"/>
  <c r="K166" i="1" s="1"/>
  <c r="E73" i="10"/>
  <c r="F99" i="10"/>
  <c r="F120" i="10" s="1"/>
  <c r="F122" i="10"/>
  <c r="I107" i="1"/>
  <c r="S80" i="4"/>
  <c r="I87" i="1"/>
  <c r="I101" i="1" s="1"/>
  <c r="I94" i="1" s="1"/>
  <c r="H35" i="13"/>
  <c r="I75" i="1"/>
  <c r="W61" i="4"/>
  <c r="W59" i="4"/>
  <c r="L108" i="1"/>
  <c r="L111" i="1" s="1"/>
  <c r="I122" i="10"/>
  <c r="I99" i="10"/>
  <c r="I120" i="10" s="1"/>
  <c r="K87" i="1"/>
  <c r="K101" i="1" s="1"/>
  <c r="K94" i="1" s="1"/>
  <c r="K102" i="1" s="1"/>
  <c r="K107" i="1"/>
  <c r="K111" i="1" s="1"/>
  <c r="K75" i="1"/>
  <c r="J35" i="13"/>
  <c r="G9" i="13"/>
  <c r="G53" i="13"/>
  <c r="I6" i="13"/>
  <c r="I9" i="13"/>
  <c r="I53" i="13"/>
  <c r="AJ77" i="4"/>
  <c r="S78" i="4"/>
  <c r="J6" i="13"/>
  <c r="J122" i="10"/>
  <c r="J99" i="10"/>
  <c r="J120" i="10" s="1"/>
  <c r="E101" i="10"/>
  <c r="J74" i="1"/>
  <c r="D15" i="17" s="1"/>
  <c r="G131" i="10"/>
  <c r="G118" i="10"/>
  <c r="G130" i="10"/>
  <c r="G128" i="10"/>
  <c r="G125" i="10"/>
  <c r="G126" i="10"/>
  <c r="K113" i="1" l="1"/>
  <c r="K159" i="1"/>
  <c r="L113" i="1"/>
  <c r="F20" i="17" s="1"/>
  <c r="L159" i="1"/>
  <c r="N75" i="1"/>
  <c r="N87" i="1"/>
  <c r="N101" i="1" s="1"/>
  <c r="N94" i="1" s="1"/>
  <c r="N102" i="1" s="1"/>
  <c r="I102" i="1"/>
  <c r="I6" i="15"/>
  <c r="D38" i="15" s="1"/>
  <c r="E20" i="17"/>
  <c r="K181" i="1"/>
  <c r="O101" i="1"/>
  <c r="O94" i="1" s="1"/>
  <c r="O102" i="1" s="1"/>
  <c r="M101" i="1"/>
  <c r="M94" i="1" s="1"/>
  <c r="M102" i="1" s="1"/>
  <c r="L92" i="1"/>
  <c r="F19" i="17" s="1"/>
  <c r="F18" i="17"/>
  <c r="C17" i="17"/>
  <c r="G17" i="17" s="1"/>
  <c r="D43" i="10"/>
  <c r="J6" i="17" s="1"/>
  <c r="E17" i="17"/>
  <c r="I129" i="10"/>
  <c r="H129" i="10"/>
  <c r="K42" i="13"/>
  <c r="K76" i="13" s="1"/>
  <c r="G35" i="13"/>
  <c r="AJ80" i="4"/>
  <c r="S81" i="4"/>
  <c r="K36" i="13"/>
  <c r="K74" i="13"/>
  <c r="K38" i="13"/>
  <c r="K40" i="13" s="1"/>
  <c r="H125" i="10"/>
  <c r="H131" i="10"/>
  <c r="H118" i="10"/>
  <c r="H130" i="10"/>
  <c r="H128" i="10"/>
  <c r="H126" i="10"/>
  <c r="D128" i="10"/>
  <c r="D126" i="10"/>
  <c r="D125" i="10"/>
  <c r="D130" i="10"/>
  <c r="D131" i="10"/>
  <c r="D118" i="10"/>
  <c r="S101" i="4"/>
  <c r="I111" i="1"/>
  <c r="I159" i="1" s="1"/>
  <c r="F129" i="10"/>
  <c r="D72" i="10"/>
  <c r="D82" i="10" s="1"/>
  <c r="D129" i="10"/>
  <c r="G8" i="10"/>
  <c r="J126" i="10"/>
  <c r="J125" i="10"/>
  <c r="J131" i="10"/>
  <c r="J118" i="10"/>
  <c r="J130" i="10"/>
  <c r="J128" i="10"/>
  <c r="N108" i="1"/>
  <c r="N111" i="1" s="1"/>
  <c r="E71" i="10"/>
  <c r="E81" i="10" s="1"/>
  <c r="M108" i="1"/>
  <c r="M111" i="1" s="1"/>
  <c r="I126" i="10"/>
  <c r="I125" i="10"/>
  <c r="I131" i="10"/>
  <c r="I118" i="10"/>
  <c r="I130" i="10"/>
  <c r="I128" i="10"/>
  <c r="E6" i="10"/>
  <c r="G6" i="10" s="1"/>
  <c r="G12" i="10" s="1"/>
  <c r="F12" i="10" s="1"/>
  <c r="C125" i="9"/>
  <c r="C126" i="9" s="1"/>
  <c r="E99" i="10"/>
  <c r="E120" i="10" s="1"/>
  <c r="E122" i="10"/>
  <c r="K127" i="1"/>
  <c r="E24" i="17" s="1"/>
  <c r="K117" i="1"/>
  <c r="J43" i="13" s="1"/>
  <c r="J42" i="13"/>
  <c r="J76" i="13" s="1"/>
  <c r="L68" i="1"/>
  <c r="L166" i="1" s="1"/>
  <c r="F73" i="10"/>
  <c r="O90" i="1"/>
  <c r="O88" i="1"/>
  <c r="O92" i="1" s="1"/>
  <c r="S93" i="4"/>
  <c r="S145" i="4" s="1"/>
  <c r="S138" i="4" s="1"/>
  <c r="I90" i="1"/>
  <c r="I88" i="1"/>
  <c r="H37" i="13"/>
  <c r="I10" i="15"/>
  <c r="D39" i="15" s="1"/>
  <c r="D40" i="15" s="1"/>
  <c r="G97" i="10"/>
  <c r="G127" i="10"/>
  <c r="F131" i="10"/>
  <c r="F118" i="10"/>
  <c r="F130" i="10"/>
  <c r="F128" i="10"/>
  <c r="F126" i="10"/>
  <c r="F125" i="10"/>
  <c r="J55" i="13"/>
  <c r="J73" i="13"/>
  <c r="J75" i="1"/>
  <c r="J107" i="1"/>
  <c r="I35" i="13"/>
  <c r="J87" i="1"/>
  <c r="J101" i="1" s="1"/>
  <c r="J94" i="1" s="1"/>
  <c r="J102" i="1" s="1"/>
  <c r="J129" i="10"/>
  <c r="J37" i="13"/>
  <c r="K90" i="1"/>
  <c r="K88" i="1"/>
  <c r="H55" i="13"/>
  <c r="H73" i="13"/>
  <c r="M90" i="1"/>
  <c r="M88" i="1"/>
  <c r="M92" i="1" s="1"/>
  <c r="O108" i="1"/>
  <c r="O111" i="1" s="1"/>
  <c r="L114" i="1" l="1"/>
  <c r="L117" i="1"/>
  <c r="K43" i="13" s="1"/>
  <c r="L127" i="1"/>
  <c r="F24" i="17" s="1"/>
  <c r="F21" i="17" s="1"/>
  <c r="O113" i="1"/>
  <c r="O127" i="1" s="1"/>
  <c r="O159" i="1"/>
  <c r="N113" i="1"/>
  <c r="N127" i="1" s="1"/>
  <c r="N159" i="1"/>
  <c r="N90" i="1"/>
  <c r="N88" i="1"/>
  <c r="N92" i="1" s="1"/>
  <c r="M113" i="1"/>
  <c r="M159" i="1"/>
  <c r="K191" i="1"/>
  <c r="L181" i="1"/>
  <c r="E7" i="10"/>
  <c r="K414" i="9"/>
  <c r="L414" i="9" s="1"/>
  <c r="F8" i="10"/>
  <c r="D80" i="10"/>
  <c r="D85" i="10" s="1"/>
  <c r="D42" i="10" s="1"/>
  <c r="K92" i="1"/>
  <c r="E19" i="17" s="1"/>
  <c r="E18" i="17"/>
  <c r="I92" i="1"/>
  <c r="C18" i="17"/>
  <c r="E21" i="17"/>
  <c r="E23" i="17" s="1"/>
  <c r="D17" i="17"/>
  <c r="E72" i="10"/>
  <c r="E82" i="10" s="1"/>
  <c r="E80" i="10" s="1"/>
  <c r="E85" i="10" s="1"/>
  <c r="J46" i="13"/>
  <c r="K130" i="1"/>
  <c r="E25" i="17" s="1"/>
  <c r="D97" i="10"/>
  <c r="D127" i="10"/>
  <c r="H127" i="10"/>
  <c r="H97" i="10"/>
  <c r="G55" i="13"/>
  <c r="G73" i="13"/>
  <c r="F97" i="10"/>
  <c r="F127" i="10"/>
  <c r="J38" i="13"/>
  <c r="J40" i="13" s="1"/>
  <c r="D44" i="15" s="1"/>
  <c r="J36" i="13"/>
  <c r="J74" i="13"/>
  <c r="K10" i="15"/>
  <c r="I9" i="15"/>
  <c r="K9" i="15" s="1"/>
  <c r="M68" i="1"/>
  <c r="M166" i="1" s="1"/>
  <c r="G73" i="10"/>
  <c r="I127" i="10"/>
  <c r="I97" i="10"/>
  <c r="E118" i="10"/>
  <c r="E130" i="10"/>
  <c r="E128" i="10"/>
  <c r="E126" i="10"/>
  <c r="E125" i="10"/>
  <c r="E131" i="10"/>
  <c r="I37" i="13"/>
  <c r="W93" i="4"/>
  <c r="W145" i="4" s="1"/>
  <c r="W138" i="4" s="1"/>
  <c r="J90" i="1"/>
  <c r="J88" i="1"/>
  <c r="E129" i="10"/>
  <c r="W101" i="4"/>
  <c r="J111" i="1"/>
  <c r="J159" i="1" s="1"/>
  <c r="G37" i="13"/>
  <c r="S94" i="4"/>
  <c r="S96" i="4"/>
  <c r="AJ96" i="4" s="1"/>
  <c r="J225" i="9" s="1"/>
  <c r="F71" i="10"/>
  <c r="F81" i="10" s="1"/>
  <c r="H36" i="13"/>
  <c r="H74" i="13"/>
  <c r="H38" i="13"/>
  <c r="H40" i="13" s="1"/>
  <c r="I55" i="13"/>
  <c r="I73" i="13"/>
  <c r="J97" i="10"/>
  <c r="J127" i="10"/>
  <c r="S105" i="4"/>
  <c r="S148" i="4" s="1"/>
  <c r="S170" i="4" s="1"/>
  <c r="I113" i="1"/>
  <c r="L128" i="1"/>
  <c r="L130" i="1"/>
  <c r="F25" i="17" s="1"/>
  <c r="N117" i="1" l="1"/>
  <c r="O117" i="1"/>
  <c r="O114" i="1"/>
  <c r="N114" i="1"/>
  <c r="K46" i="13"/>
  <c r="F140" i="10"/>
  <c r="F142" i="10" s="1"/>
  <c r="K151" i="1"/>
  <c r="M114" i="1"/>
  <c r="M117" i="1"/>
  <c r="M127" i="1"/>
  <c r="M130" i="1" s="1"/>
  <c r="M181" i="1"/>
  <c r="M191" i="1" s="1"/>
  <c r="K192" i="1"/>
  <c r="E26" i="17"/>
  <c r="F535" i="9"/>
  <c r="L191" i="1"/>
  <c r="C20" i="17"/>
  <c r="G20" i="17" s="1"/>
  <c r="I181" i="1"/>
  <c r="I191" i="1" s="1"/>
  <c r="C19" i="17"/>
  <c r="D41" i="15"/>
  <c r="J92" i="1"/>
  <c r="D19" i="17" s="1"/>
  <c r="D18" i="17"/>
  <c r="F23" i="17"/>
  <c r="N130" i="1"/>
  <c r="J47" i="13"/>
  <c r="J78" i="13" s="1"/>
  <c r="J77" i="13"/>
  <c r="N68" i="1"/>
  <c r="N166" i="1" s="1"/>
  <c r="N181" i="1" s="1"/>
  <c r="H73" i="10"/>
  <c r="L131" i="1"/>
  <c r="I117" i="1"/>
  <c r="I114" i="1"/>
  <c r="S107" i="4"/>
  <c r="D45" i="10"/>
  <c r="J7" i="17" s="1"/>
  <c r="H42" i="13"/>
  <c r="H76" i="13" s="1"/>
  <c r="I127" i="1"/>
  <c r="C24" i="17" s="1"/>
  <c r="F72" i="10"/>
  <c r="F82" i="10" s="1"/>
  <c r="F80" i="10" s="1"/>
  <c r="F85" i="10" s="1"/>
  <c r="O130" i="1"/>
  <c r="O128" i="1"/>
  <c r="W105" i="4"/>
  <c r="W148" i="4" s="1"/>
  <c r="W170" i="4" s="1"/>
  <c r="W180" i="4" s="1"/>
  <c r="W181" i="4" s="1"/>
  <c r="J113" i="1"/>
  <c r="S136" i="4"/>
  <c r="N228" i="9"/>
  <c r="W96" i="4"/>
  <c r="W94" i="4"/>
  <c r="W136" i="4" s="1"/>
  <c r="W80" i="4"/>
  <c r="E97" i="10"/>
  <c r="E127" i="10"/>
  <c r="K47" i="13"/>
  <c r="K78" i="13" s="1"/>
  <c r="K77" i="13"/>
  <c r="G36" i="13"/>
  <c r="G74" i="13"/>
  <c r="G38" i="13"/>
  <c r="G40" i="13" s="1"/>
  <c r="I36" i="13"/>
  <c r="I74" i="13"/>
  <c r="I38" i="13"/>
  <c r="I40" i="13" s="1"/>
  <c r="G71" i="10"/>
  <c r="G81" i="10" s="1"/>
  <c r="H140" i="10" l="1"/>
  <c r="H142" i="10" s="1"/>
  <c r="M151" i="1"/>
  <c r="D140" i="10"/>
  <c r="D142" i="10" s="1"/>
  <c r="I151" i="1"/>
  <c r="N128" i="1"/>
  <c r="G140" i="10"/>
  <c r="G142" i="10" s="1"/>
  <c r="L151" i="1"/>
  <c r="M128" i="1"/>
  <c r="D49" i="10"/>
  <c r="D539" i="9" s="1"/>
  <c r="C26" i="17"/>
  <c r="D535" i="9"/>
  <c r="I205" i="1"/>
  <c r="M192" i="1"/>
  <c r="H535" i="9"/>
  <c r="L192" i="1"/>
  <c r="G535" i="9"/>
  <c r="F26" i="17"/>
  <c r="N191" i="1"/>
  <c r="I192" i="1"/>
  <c r="C27" i="17"/>
  <c r="D20" i="17"/>
  <c r="J181" i="1"/>
  <c r="C21" i="17"/>
  <c r="C28" i="17"/>
  <c r="G24" i="17"/>
  <c r="G72" i="10"/>
  <c r="G82" i="10" s="1"/>
  <c r="G80" i="10" s="1"/>
  <c r="G85" i="10" s="1"/>
  <c r="H43" i="13"/>
  <c r="S110" i="4"/>
  <c r="G43" i="13" s="1"/>
  <c r="D46" i="10"/>
  <c r="J8" i="17" s="1"/>
  <c r="H46" i="13"/>
  <c r="I130" i="1"/>
  <c r="I128" i="1"/>
  <c r="W77" i="4"/>
  <c r="W78" i="4" s="1"/>
  <c r="W81" i="4"/>
  <c r="J117" i="1"/>
  <c r="I43" i="13" s="1"/>
  <c r="J114" i="1"/>
  <c r="D52" i="10" s="1"/>
  <c r="I42" i="13"/>
  <c r="I76" i="13" s="1"/>
  <c r="W107" i="4"/>
  <c r="J127" i="1"/>
  <c r="D24" i="17" s="1"/>
  <c r="K114" i="1"/>
  <c r="H71" i="10"/>
  <c r="H81" i="10" s="1"/>
  <c r="I73" i="10"/>
  <c r="O68" i="1"/>
  <c r="N131" i="1"/>
  <c r="M131" i="1"/>
  <c r="S120" i="4"/>
  <c r="G46" i="13" s="1"/>
  <c r="G42" i="13"/>
  <c r="G76" i="13" s="1"/>
  <c r="O131" i="1"/>
  <c r="J10" i="17" l="1"/>
  <c r="I140" i="10"/>
  <c r="I142" i="10" s="1"/>
  <c r="N151" i="1"/>
  <c r="G26" i="17"/>
  <c r="N192" i="1"/>
  <c r="J191" i="1"/>
  <c r="J73" i="10"/>
  <c r="J71" i="10" s="1"/>
  <c r="J81" i="10" s="1"/>
  <c r="O166" i="1"/>
  <c r="O181" i="1" s="1"/>
  <c r="C23" i="17"/>
  <c r="G23" i="17" s="1"/>
  <c r="G21" i="17"/>
  <c r="D21" i="17"/>
  <c r="D23" i="17" s="1"/>
  <c r="C25" i="17"/>
  <c r="D47" i="10"/>
  <c r="J9" i="17" s="1"/>
  <c r="H72" i="10"/>
  <c r="H82" i="10" s="1"/>
  <c r="H80" i="10" s="1"/>
  <c r="H85" i="10" s="1"/>
  <c r="I131" i="1"/>
  <c r="I46" i="13"/>
  <c r="J130" i="1"/>
  <c r="D25" i="17" s="1"/>
  <c r="J128" i="1"/>
  <c r="D53" i="10" s="1"/>
  <c r="K128" i="1"/>
  <c r="W120" i="4"/>
  <c r="W110" i="4"/>
  <c r="H47" i="13"/>
  <c r="H78" i="13" s="1"/>
  <c r="H77" i="13"/>
  <c r="I71" i="10"/>
  <c r="I81" i="10" s="1"/>
  <c r="G47" i="13"/>
  <c r="G78" i="13" s="1"/>
  <c r="G77" i="13"/>
  <c r="E140" i="10" l="1"/>
  <c r="E142" i="10" s="1"/>
  <c r="J151" i="1"/>
  <c r="J192" i="1"/>
  <c r="D26" i="17"/>
  <c r="E535" i="9"/>
  <c r="J205" i="1"/>
  <c r="K205" i="1" s="1"/>
  <c r="L205" i="1" s="1"/>
  <c r="M205" i="1" s="1"/>
  <c r="N205" i="1" s="1"/>
  <c r="O191" i="1"/>
  <c r="C29" i="17"/>
  <c r="G25" i="17"/>
  <c r="I72" i="10"/>
  <c r="I82" i="10" s="1"/>
  <c r="I80" i="10" s="1"/>
  <c r="I85" i="10" s="1"/>
  <c r="J131" i="1"/>
  <c r="D54" i="10" s="1"/>
  <c r="K131" i="1"/>
  <c r="I47" i="13"/>
  <c r="I78" i="13" s="1"/>
  <c r="I77" i="13"/>
  <c r="K81" i="10"/>
  <c r="J72" i="10"/>
  <c r="J82" i="10" s="1"/>
  <c r="K82" i="10" s="1"/>
  <c r="J140" i="10" l="1"/>
  <c r="J142" i="10" s="1"/>
  <c r="C145" i="10" s="1"/>
  <c r="C146" i="10" s="1"/>
  <c r="O151" i="1"/>
  <c r="O192" i="1"/>
  <c r="O205" i="1"/>
  <c r="J80" i="10"/>
  <c r="C144" i="10" l="1"/>
  <c r="C148" i="10" s="1"/>
  <c r="C150" i="10" s="1"/>
  <c r="J85" i="10"/>
  <c r="K80" i="10"/>
  <c r="K85" i="10" l="1"/>
  <c r="I141" i="1" l="1"/>
  <c r="I155" i="1"/>
  <c r="E35" i="10" l="1"/>
  <c r="D5" i="17" s="1"/>
  <c r="D6" i="17" s="1"/>
  <c r="D9" i="17" s="1"/>
  <c r="E543" i="9"/>
  <c r="I118" i="1"/>
  <c r="H44" i="13" s="1"/>
  <c r="I142" i="1"/>
  <c r="J155" i="1"/>
  <c r="K155" i="1" s="1"/>
  <c r="J149" i="1"/>
  <c r="J141" i="1"/>
  <c r="F543" i="9" s="1"/>
  <c r="G21" i="10" l="1"/>
  <c r="E36" i="10"/>
  <c r="E46" i="10" s="1"/>
  <c r="D28" i="17"/>
  <c r="D29" i="17"/>
  <c r="D27" i="17"/>
  <c r="E47" i="10"/>
  <c r="E54" i="10" s="1"/>
  <c r="E49" i="10"/>
  <c r="E539" i="9" s="1"/>
  <c r="J142" i="1"/>
  <c r="W134" i="4" s="1"/>
  <c r="F35" i="10"/>
  <c r="F36" i="10" s="1"/>
  <c r="F49" i="10" s="1"/>
  <c r="F539" i="9" s="1"/>
  <c r="J118" i="1"/>
  <c r="I44" i="13" s="1"/>
  <c r="K141" i="1"/>
  <c r="G543" i="9" s="1"/>
  <c r="K149" i="1"/>
  <c r="L155" i="1"/>
  <c r="E38" i="10" l="1"/>
  <c r="E42" i="10" s="1"/>
  <c r="E45" i="10"/>
  <c r="K7" i="17" s="1"/>
  <c r="C173" i="10"/>
  <c r="C172" i="10"/>
  <c r="C170" i="10"/>
  <c r="C174" i="10"/>
  <c r="C171" i="10"/>
  <c r="C175" i="10"/>
  <c r="C152" i="10"/>
  <c r="C153" i="10" s="1"/>
  <c r="C154" i="10" s="1"/>
  <c r="K9" i="17"/>
  <c r="E5" i="17"/>
  <c r="E27" i="17" s="1"/>
  <c r="K10" i="17"/>
  <c r="K142" i="1"/>
  <c r="G35" i="10"/>
  <c r="F5" i="17" s="1"/>
  <c r="E43" i="10"/>
  <c r="K6" i="17" s="1"/>
  <c r="E40" i="10"/>
  <c r="K4" i="17" s="1"/>
  <c r="E41" i="10"/>
  <c r="K5" i="17" s="1"/>
  <c r="E53" i="10"/>
  <c r="K8" i="17"/>
  <c r="E29" i="17"/>
  <c r="E6" i="17"/>
  <c r="E9" i="17" s="1"/>
  <c r="E28" i="17"/>
  <c r="L149" i="1"/>
  <c r="K118" i="1"/>
  <c r="J44" i="13" s="1"/>
  <c r="L141" i="1"/>
  <c r="H543" i="9" s="1"/>
  <c r="M155" i="1"/>
  <c r="F47" i="10"/>
  <c r="F46" i="10"/>
  <c r="F45" i="10"/>
  <c r="F38" i="10"/>
  <c r="L10" i="17"/>
  <c r="E52" i="10" l="1"/>
  <c r="G36" i="10"/>
  <c r="G49" i="10" s="1"/>
  <c r="G539" i="9" s="1"/>
  <c r="L142" i="1"/>
  <c r="H35" i="10"/>
  <c r="H36" i="10" s="1"/>
  <c r="F41" i="10"/>
  <c r="L5" i="17" s="1"/>
  <c r="F40" i="10"/>
  <c r="L4" i="17" s="1"/>
  <c r="F43" i="10"/>
  <c r="L6" i="17" s="1"/>
  <c r="F42" i="10"/>
  <c r="L7" i="17"/>
  <c r="F52" i="10"/>
  <c r="F53" i="10"/>
  <c r="L8" i="17"/>
  <c r="L46" i="10"/>
  <c r="L9" i="17"/>
  <c r="F54" i="10"/>
  <c r="L47" i="10"/>
  <c r="F27" i="17"/>
  <c r="G27" i="17" s="1"/>
  <c r="F29" i="17"/>
  <c r="G29" i="17" s="1"/>
  <c r="F6" i="17"/>
  <c r="F9" i="17" s="1"/>
  <c r="F28" i="17"/>
  <c r="G28" i="17" s="1"/>
  <c r="N155" i="1"/>
  <c r="M149" i="1"/>
  <c r="L118" i="1"/>
  <c r="K44" i="13" s="1"/>
  <c r="M141" i="1"/>
  <c r="G47" i="10" l="1"/>
  <c r="G38" i="10"/>
  <c r="G45" i="10"/>
  <c r="M7" i="17" s="1"/>
  <c r="M10" i="17"/>
  <c r="G46" i="10"/>
  <c r="G53" i="10" s="1"/>
  <c r="H47" i="10"/>
  <c r="H54" i="10" s="1"/>
  <c r="H49" i="10"/>
  <c r="H539" i="9" s="1"/>
  <c r="H38" i="10"/>
  <c r="H42" i="10" s="1"/>
  <c r="H45" i="10"/>
  <c r="H52" i="10" s="1"/>
  <c r="H46" i="10"/>
  <c r="H53" i="10" s="1"/>
  <c r="M142" i="1"/>
  <c r="I35" i="10"/>
  <c r="I36" i="10" s="1"/>
  <c r="N149" i="1"/>
  <c r="M118" i="1"/>
  <c r="N141" i="1"/>
  <c r="G54" i="10"/>
  <c r="M9" i="17"/>
  <c r="O155" i="1"/>
  <c r="G42" i="10"/>
  <c r="G41" i="10"/>
  <c r="M5" i="17" s="1"/>
  <c r="G40" i="10"/>
  <c r="M4" i="17" s="1"/>
  <c r="G43" i="10"/>
  <c r="M6" i="17" s="1"/>
  <c r="G52" i="10" l="1"/>
  <c r="M8" i="17"/>
  <c r="H43" i="10"/>
  <c r="H40" i="10"/>
  <c r="H41" i="10"/>
  <c r="I45" i="10"/>
  <c r="I52" i="10" s="1"/>
  <c r="I49" i="10"/>
  <c r="I38" i="10"/>
  <c r="I43" i="10" s="1"/>
  <c r="I47" i="10"/>
  <c r="I54" i="10" s="1"/>
  <c r="I46" i="10"/>
  <c r="I53" i="10" s="1"/>
  <c r="N142" i="1"/>
  <c r="J35" i="10"/>
  <c r="J36" i="10" s="1"/>
  <c r="O149" i="1"/>
  <c r="N118" i="1"/>
  <c r="O141" i="1"/>
  <c r="I40" i="10" l="1"/>
  <c r="I41" i="10"/>
  <c r="I42" i="10"/>
  <c r="J38" i="10"/>
  <c r="J43" i="10" s="1"/>
  <c r="J49" i="10"/>
  <c r="J46" i="10"/>
  <c r="J47" i="10"/>
  <c r="J45" i="10"/>
  <c r="O118" i="1"/>
  <c r="O142" i="1"/>
  <c r="R124" i="4"/>
  <c r="R111" i="4" s="1"/>
  <c r="S134" i="4"/>
  <c r="J40" i="10" l="1"/>
  <c r="J41" i="10"/>
  <c r="J42" i="10"/>
  <c r="S124" i="4"/>
  <c r="T124" i="4" s="1"/>
  <c r="T111" i="4" s="1"/>
  <c r="F44" i="13"/>
  <c r="S111" i="4"/>
  <c r="G44" i="13" s="1"/>
  <c r="U124" i="4" l="1"/>
  <c r="V124" i="4" s="1"/>
  <c r="U111" i="4" l="1"/>
  <c r="W124" i="4"/>
  <c r="W111" i="4" s="1"/>
  <c r="V111" i="4"/>
  <c r="P181" i="4" l="1"/>
  <c r="Q174" i="4"/>
  <c r="Q175" i="4" s="1"/>
  <c r="Q180" i="4" l="1"/>
  <c r="Q181" i="4" s="1"/>
  <c r="S175" i="4"/>
  <c r="S180" i="4" s="1"/>
  <c r="R181" i="4" l="1"/>
  <c r="S181" i="4"/>
  <c r="T181" i="4"/>
  <c r="V181" i="4"/>
  <c r="U181" i="4"/>
  <c r="F414" i="9"/>
  <c r="G414" i="9"/>
  <c r="M414" i="9"/>
  <c r="H3" i="10"/>
  <c r="H4" i="10"/>
  <c r="H5" i="10"/>
  <c r="H6" i="10"/>
  <c r="F7" i="10"/>
  <c r="G7" i="10"/>
  <c r="H7" i="10"/>
  <c r="H8" i="10"/>
  <c r="H9" i="10"/>
  <c r="G10" i="10"/>
  <c r="H10" i="10"/>
  <c r="H12" i="10"/>
  <c r="F13" i="10"/>
  <c r="G13" i="10"/>
  <c r="H13" i="10"/>
  <c r="H14" i="10"/>
  <c r="G15" i="10"/>
  <c r="G20" i="10"/>
  <c r="G22" i="10"/>
  <c r="G24"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Soomit Datta</author>
  </authors>
  <commentList>
    <comment ref="I250" authorId="0" shapeId="0" xr:uid="{BC0DEDA5-CB23-49B9-ADFD-D2728AFBC94B}">
      <text>
        <r>
          <rPr>
            <b/>
            <sz val="9"/>
            <color indexed="81"/>
            <rFont val="Tahoma"/>
            <family val="2"/>
          </rPr>
          <t>Soomit Datta:</t>
        </r>
        <r>
          <rPr>
            <sz val="9"/>
            <color indexed="81"/>
            <rFont val="Tahoma"/>
            <family val="2"/>
          </rPr>
          <t xml:space="preserve">
~$4 billion as of Q1</t>
        </r>
      </text>
    </comment>
    <comment ref="G292" authorId="0" shapeId="0" xr:uid="{67A7F0F8-D47A-4C04-BE3A-100A5B14453C}">
      <text>
        <r>
          <rPr>
            <b/>
            <sz val="9"/>
            <color indexed="81"/>
            <rFont val="Tahoma"/>
            <family val="2"/>
          </rPr>
          <t>Soomit Datta:</t>
        </r>
        <r>
          <rPr>
            <sz val="9"/>
            <color indexed="81"/>
            <rFont val="Tahoma"/>
            <family val="2"/>
          </rPr>
          <t xml:space="preserve">
As % of Cash App EX BNPL</t>
        </r>
      </text>
    </comment>
    <comment ref="G363" authorId="0" shapeId="0" xr:uid="{511C0CEC-48BC-403E-8922-768EAE8890E7}">
      <text>
        <r>
          <rPr>
            <b/>
            <sz val="9"/>
            <color indexed="81"/>
            <rFont val="Tahoma"/>
            <family val="2"/>
          </rPr>
          <t>Soomit Datta:</t>
        </r>
        <r>
          <rPr>
            <sz val="9"/>
            <color indexed="81"/>
            <rFont val="Tahoma"/>
            <family val="2"/>
          </rPr>
          <t xml:space="preserve">
As % of Cash App EX BNPL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Soomit Datta</author>
  </authors>
  <commentList>
    <comment ref="L174" authorId="0" shapeId="0" xr:uid="{B8917B6C-1EC5-4043-AE03-63958D2719FD}">
      <text>
        <r>
          <rPr>
            <b/>
            <sz val="9"/>
            <color indexed="81"/>
            <rFont val="Tahoma"/>
            <family val="2"/>
          </rPr>
          <t>Soomit Datta:</t>
        </r>
        <r>
          <rPr>
            <sz val="9"/>
            <color indexed="81"/>
            <rFont val="Tahoma"/>
            <family val="2"/>
          </rPr>
          <t xml:space="preserve">
estimate</t>
        </r>
      </text>
    </comment>
    <comment ref="M174" authorId="0" shapeId="0" xr:uid="{CA4F5401-876F-493E-8F8B-131718D76DAC}">
      <text>
        <r>
          <rPr>
            <b/>
            <sz val="9"/>
            <color indexed="81"/>
            <rFont val="Tahoma"/>
            <family val="2"/>
          </rPr>
          <t>Soomit Datta:</t>
        </r>
        <r>
          <rPr>
            <sz val="9"/>
            <color indexed="81"/>
            <rFont val="Tahoma"/>
            <family val="2"/>
          </rPr>
          <t xml:space="preserve">
estimate</t>
        </r>
      </text>
    </comment>
    <comment ref="P231" authorId="0" shapeId="0" xr:uid="{4766F372-3D50-4F98-8DA7-91FA79C00745}">
      <text>
        <r>
          <rPr>
            <b/>
            <sz val="9"/>
            <color indexed="81"/>
            <rFont val="Tahoma"/>
            <family val="2"/>
          </rPr>
          <t>Soomit Datta:</t>
        </r>
        <r>
          <rPr>
            <sz val="9"/>
            <color indexed="81"/>
            <rFont val="Tahoma"/>
            <family val="2"/>
          </rPr>
          <t xml:space="preserve">
2023 10-K</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Soomit Datta</author>
  </authors>
  <commentList>
    <comment ref="N8" authorId="0" shapeId="0" xr:uid="{84CFA7ED-A910-4915-9ABD-7D7FDD21259F}">
      <text>
        <r>
          <rPr>
            <b/>
            <sz val="9"/>
            <color indexed="81"/>
            <rFont val="Tahoma"/>
            <family val="2"/>
          </rPr>
          <t>Soomit Datta:</t>
        </r>
        <r>
          <rPr>
            <sz val="9"/>
            <color indexed="81"/>
            <rFont val="Tahoma"/>
            <family val="2"/>
          </rPr>
          <t xml:space="preserve">
40% from Q1 report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<sst xmlns="http://schemas.openxmlformats.org/spreadsheetml/2006/main" count="2250" uniqueCount="1287">
  <si>
    <t>Block, Inc.</t>
  </si>
  <si>
    <t>Non-GAAP Disclosures</t>
  </si>
  <si>
    <t>(In thousands, except for per share amounts)</t>
  </si>
  <si>
    <t>(Unaudited)</t>
  </si>
  <si>
    <t>Three months ended</t>
  </si>
  <si>
    <t>Year ended</t>
  </si>
  <si>
    <t>Trailing twelve months</t>
  </si>
  <si>
    <t>Mar 31,</t>
  </si>
  <si>
    <t>June 30,</t>
  </si>
  <si>
    <t>Sep 30,</t>
  </si>
  <si>
    <t>Dec 31,</t>
  </si>
  <si>
    <t>Total net revenue, in accordance with GAAP</t>
  </si>
  <si>
    <t xml:space="preserve">     Starbucks transaction-based revenue</t>
  </si>
  <si>
    <t xml:space="preserve">     Transaction-based costs</t>
  </si>
  <si>
    <t xml:space="preserve">     Bitcoin costs</t>
  </si>
  <si>
    <t xml:space="preserve">     Deferred revenue adj. related to purchase accounting</t>
  </si>
  <si>
    <t xml:space="preserve">     Revenue from Zesty and Weebly</t>
  </si>
  <si>
    <t>Gross profit, in accordance with GAAP</t>
  </si>
  <si>
    <t>Operating expenses, in accordance with GAAP</t>
  </si>
  <si>
    <t xml:space="preserve">     Share-based compensation</t>
  </si>
  <si>
    <t xml:space="preserve">     Depreciation and amortization</t>
  </si>
  <si>
    <t xml:space="preserve">     Acquisition-related and integration costs</t>
  </si>
  <si>
    <t xml:space="preserve">     Restructuring and other charges</t>
  </si>
  <si>
    <t xml:space="preserve">     Restructuring share-based compensation</t>
  </si>
  <si>
    <t xml:space="preserve">     Goodwill impairment</t>
  </si>
  <si>
    <t xml:space="preserve">     Bitcoin impairment losses</t>
  </si>
  <si>
    <t xml:space="preserve">     Litigation settlement expense</t>
  </si>
  <si>
    <t xml:space="preserve">     Loss (gain) on disposal of property and equipment</t>
  </si>
  <si>
    <t xml:space="preserve">          Non-GAAP operating expenses</t>
  </si>
  <si>
    <t xml:space="preserve">     Other adjustments(1)</t>
  </si>
  <si>
    <t xml:space="preserve">          Adjusted EBITDA</t>
  </si>
  <si>
    <t>GAAP product development</t>
  </si>
  <si>
    <t xml:space="preserve">     Loss (gain) on disposal of property equipment</t>
  </si>
  <si>
    <t xml:space="preserve">          Non-GAAP product development</t>
  </si>
  <si>
    <t>GAAP sales and marketing</t>
  </si>
  <si>
    <t xml:space="preserve">          Non-GAAP sales and marketing</t>
  </si>
  <si>
    <t>GAAP general and administrative</t>
  </si>
  <si>
    <t xml:space="preserve">          Non-GAAP general and administrative</t>
  </si>
  <si>
    <t>Adjusted EBITDA reconciliation</t>
  </si>
  <si>
    <t xml:space="preserve">     Net income (loss) attributable to noncontrolling interests</t>
  </si>
  <si>
    <t xml:space="preserve">     Net income (loss) attributable to common stockholders(5)</t>
  </si>
  <si>
    <t xml:space="preserve">     GAAP net income (loss)</t>
  </si>
  <si>
    <t xml:space="preserve">     Starbucks transaction-based costs</t>
  </si>
  <si>
    <t xml:space="preserve">     Share-based compensation expense</t>
  </si>
  <si>
    <t xml:space="preserve">     Interest expense (income), net</t>
  </si>
  <si>
    <t xml:space="preserve">     Other expense (income), net</t>
  </si>
  <si>
    <t xml:space="preserve">     Provision (benefit) for income taxes</t>
  </si>
  <si>
    <t xml:space="preserve">     Impairment of intangible assets</t>
  </si>
  <si>
    <t xml:space="preserve">     Gain on sale of asset group</t>
  </si>
  <si>
    <t xml:space="preserve">     Acquired deferred revenue and cost adjustment</t>
  </si>
  <si>
    <t xml:space="preserve">               Adjustments for Adjusted Operating Income (Loss)(2)</t>
  </si>
  <si>
    <t xml:space="preserve">               Share-based compensation</t>
  </si>
  <si>
    <t xml:space="preserve">               Acquisition-related share-based acceleration costs</t>
  </si>
  <si>
    <t xml:space="preserve">               Depreciation and amortization</t>
  </si>
  <si>
    <t xml:space="preserve">               Amortization of acquired intangible assets</t>
  </si>
  <si>
    <t xml:space="preserve">               Acquired deferred revenue and cost adjustment</t>
  </si>
  <si>
    <t xml:space="preserve">               Loss (gain) on disposal of property and equipment</t>
  </si>
  <si>
    <t xml:space="preserve">                    Adjusted Operating Income (Loss)</t>
  </si>
  <si>
    <t>Adjusted Net Income (Loss) reconciliation</t>
  </si>
  <si>
    <t xml:space="preserve">     Amortization of intangible assets</t>
  </si>
  <si>
    <t xml:space="preserve">     Amortization of debt discount and issuance costs</t>
  </si>
  <si>
    <t xml:space="preserve">     Loss (gain) on revaluation of equity investment</t>
  </si>
  <si>
    <t xml:space="preserve">     Bitcoin remeasurement</t>
  </si>
  <si>
    <t xml:space="preserve">     Loss on extinguishment of long-term debt</t>
  </si>
  <si>
    <t xml:space="preserve">     Tax effect of non-GAAP net income adjustments</t>
  </si>
  <si>
    <t xml:space="preserve">          Adjusted Net Income (Loss) - basic</t>
  </si>
  <si>
    <t xml:space="preserve">     Cash interest expense on convertible notes</t>
  </si>
  <si>
    <t xml:space="preserve">          Adjusted Net Income (Loss) - diluted</t>
  </si>
  <si>
    <t>Adjusted Net Income (Loss) per share(5)</t>
  </si>
  <si>
    <t xml:space="preserve">     Basic</t>
  </si>
  <si>
    <t xml:space="preserve">     Diluted</t>
  </si>
  <si>
    <t>Weighted-average shares used to compute Adjusted Net Income (Loss) per share</t>
  </si>
  <si>
    <t>Adjusted Operating Income (Loss)(2)</t>
  </si>
  <si>
    <t xml:space="preserve">     Operating income (loss)</t>
  </si>
  <si>
    <t xml:space="preserve">     Amortization of acquired technology assets(3)</t>
  </si>
  <si>
    <t xml:space="preserve">     Amortization of customer and other acquired intangible assets(4)</t>
  </si>
  <si>
    <t xml:space="preserve">     Acquisition-related share-based acceleration costs</t>
  </si>
  <si>
    <t xml:space="preserve">          Adjusted Operating Income (Loss)</t>
  </si>
  <si>
    <t>Year-over-year growth metrics</t>
  </si>
  <si>
    <t>Non-GAAP operating expenses</t>
  </si>
  <si>
    <t>Adjusted EBITDA</t>
  </si>
  <si>
    <t>NM</t>
  </si>
  <si>
    <t>NA</t>
  </si>
  <si>
    <t>(1) Other adjustments primarily includes Starbucks in 2015, share-based compensation related to cost of revenue, depreciation and amortization related to cost of revenue, acquired deferred revenue adjustments, acquired deferred cost adjustments, and other immaterial adjustments.</t>
  </si>
  <si>
    <t>(2) Adjusted Operating Income (Loss) is a non-GAAP financial measure that excludes certain expenses that we believe are not reflective of our core operating performance, including amortization of intangible assets, bitcoin impairment losses, acquisition-related accelerated share-based compensation expenses, and acquisition-related, integration, and other costs. We present Adjusted Operating Income (Loss) because we use it to evaluate our operating performance, generate future operating plans, and make strategic decisions.</t>
  </si>
  <si>
    <t>(3) Beginning in the first quarter of 2019, we aggregated amortization of acquired technology assets with other cost of revenue line items due to immateriality. Beginning in the second quarter of 2022, the cost of revenue associated with acquired technology assets was deemed material and separated out into its own line item.</t>
  </si>
  <si>
    <t>(4) Beginning in the first quarter of 2019, we aggregated amortization of customer and other acquired intangible assets with other operating expense line items due to immateriality. Beginning in the second quarter of 2022, the operating expense associated with customer and other acquired intangible assets was deemed material and separated out into its own line item.</t>
  </si>
  <si>
    <t>(5) In the fourth quarter of 2023, we early adopted ASU No. 2023-08, Accounting for and Disclosure of Crypto Assets. The full impact of the remeasurement of our bitcoin investment was recognized in the fourth quarter of 2023, instead of in each period. Recasting of prior period information, including net income and EPS, in accordance with a modified retrospective approach, is available in our Shareholder Letters and Form 10-Q's, beginning in the first quarter of 2024. The impact of the remeasurement of our bitcoin investment is recognized in net income through "Other (income) expense, net".</t>
  </si>
  <si>
    <t>Condensed Consolidated Statements of Operations</t>
  </si>
  <si>
    <t>(Unaudited, except for full year data)</t>
  </si>
  <si>
    <t>Revenue</t>
  </si>
  <si>
    <t xml:space="preserve">     Transaction-based revenue</t>
  </si>
  <si>
    <t xml:space="preserve">     Subscription and services-based revenue</t>
  </si>
  <si>
    <t xml:space="preserve">     Hardware revenue</t>
  </si>
  <si>
    <t xml:space="preserve">     Bitcoin revenue</t>
  </si>
  <si>
    <t xml:space="preserve">          Total net revenue</t>
  </si>
  <si>
    <t>Cost of revenue</t>
  </si>
  <si>
    <t xml:space="preserve">     Subscription and services-based costs</t>
  </si>
  <si>
    <t xml:space="preserve">     Hardware costs</t>
  </si>
  <si>
    <t xml:space="preserve">     Amortization of acquired technology assets(1)</t>
  </si>
  <si>
    <t xml:space="preserve">          Total cost of revenue</t>
  </si>
  <si>
    <t xml:space="preserve">          Gross profit</t>
  </si>
  <si>
    <t>Operating expenses</t>
  </si>
  <si>
    <t xml:space="preserve">     Product development</t>
  </si>
  <si>
    <t xml:space="preserve">     Sales and marketing</t>
  </si>
  <si>
    <t xml:space="preserve">     General and administrative</t>
  </si>
  <si>
    <t xml:space="preserve">     Transaction, loan, and consumer receivable losses</t>
  </si>
  <si>
    <t xml:space="preserve">     Amortization of customer and other acquired intangible assets(2)</t>
  </si>
  <si>
    <t xml:space="preserve">          Total operating expenses</t>
  </si>
  <si>
    <t xml:space="preserve">          Operating income (loss)</t>
  </si>
  <si>
    <t>Gain on sale of asset group</t>
  </si>
  <si>
    <t>Interest (income) expense, net</t>
  </si>
  <si>
    <t>Other (income) expense, net</t>
  </si>
  <si>
    <t xml:space="preserve">          Income (loss) before income tax</t>
  </si>
  <si>
    <t>Provision (benefit) for income taxes</t>
  </si>
  <si>
    <t>Deemed dividend on Series E preferred stock</t>
  </si>
  <si>
    <t xml:space="preserve">          Net income (loss) to common stockholders(3)</t>
  </si>
  <si>
    <t xml:space="preserve">          Net income (loss)</t>
  </si>
  <si>
    <t>Net income (loss) attributable to noncontrolling interests</t>
  </si>
  <si>
    <t xml:space="preserve">          Net income (loss) attributable to common stockholders</t>
  </si>
  <si>
    <t>Net income (loss) per share attributable to common stockholders(3)</t>
  </si>
  <si>
    <t xml:space="preserve">    Basic</t>
  </si>
  <si>
    <t xml:space="preserve">    Diluted</t>
  </si>
  <si>
    <t>Weighted-average shares used to compute net income (loss) per share attributable to common stockholders</t>
  </si>
  <si>
    <t>Transaction-based revenue</t>
  </si>
  <si>
    <t>Subscription and services-based revenue</t>
  </si>
  <si>
    <t>Hardware revenue</t>
  </si>
  <si>
    <t>Total net revenue</t>
  </si>
  <si>
    <t>Total gross profit</t>
  </si>
  <si>
    <t>(1) Beginning in the first quarter of 2019, we aggregated amortization of acquired technology assets with other cost of revenue line items due to immateriality. Beginning in the second quarter of 2022, the cost of revenue associated with acquired technology assets was deemed material and separated out into its own line item.</t>
  </si>
  <si>
    <t>(2) Beginning in the first quarter of 2019, we aggregated amortization of customer and other acquired intangible assets with other operating expense line items due to immateriality. Beginning in the second quarter of 2022, the operating expense associated with customer and other acquired intangible assets was deemed material and separated out into its own line item.</t>
  </si>
  <si>
    <t>(3) In the fourth quarter of 2023, we early adopted ASU No. 2023-08, Accounting for and Disclosure of Crypto Assets. The full impact of the remeasurement of our bitcoin investment was recognized in the fourth quarter of 2023, instead of in each period. Recasting of prior period information, including net income and EPS, in accordance with a modified retrospective approach, is available in our Shareholder Letters and Form 10-Q's, beginning in the first quarter of 2024. The impact of the remeasurement of our bitcoin investment is recognized in net income through "Other (income) expense, net".</t>
  </si>
  <si>
    <t>Q1 21</t>
  </si>
  <si>
    <t>Q2 21</t>
  </si>
  <si>
    <t>Q3 21</t>
  </si>
  <si>
    <t>Q4 21</t>
  </si>
  <si>
    <t>Q1 22</t>
  </si>
  <si>
    <t>Q2 22</t>
  </si>
  <si>
    <t>Q3 22</t>
  </si>
  <si>
    <t>Q4 22</t>
  </si>
  <si>
    <t>Q1 23</t>
  </si>
  <si>
    <t>Q2 23</t>
  </si>
  <si>
    <t>Q3 23</t>
  </si>
  <si>
    <t>Q4 23</t>
  </si>
  <si>
    <t>Q1 24</t>
  </si>
  <si>
    <t>Q2 24e</t>
  </si>
  <si>
    <t>Q3 24e</t>
  </si>
  <si>
    <t>Q4 24e</t>
  </si>
  <si>
    <t>USD million</t>
  </si>
  <si>
    <t>Segment Information</t>
  </si>
  <si>
    <t>March 31,</t>
  </si>
  <si>
    <t>Square(1)</t>
  </si>
  <si>
    <t xml:space="preserve">     Gross profit</t>
  </si>
  <si>
    <t>Cash App(1)</t>
  </si>
  <si>
    <t>Corporate and other(2)</t>
  </si>
  <si>
    <t>Year-over-year growth</t>
  </si>
  <si>
    <t>Gross profit</t>
  </si>
  <si>
    <t>--</t>
  </si>
  <si>
    <t>Note: Numbers for the six months and three months ended June 30, 2019 exclude Caviar (refer to "Pro Forma ex-Caviar" tab). In November 2019, the Company sold the Caviar business, a food ordering and delivery platform that does not align with and further contribute to the two operating segments.</t>
  </si>
  <si>
    <t>Note: On January 31, 2022, we completed our acquisition of Afterpay, a global BNPL platform. Afterpay began contributing to our results in February 2022. We recognize revenue from our BNPL platform as subscription and services-based revenue. Revenue from our BNPL platform includes fees generated from consumer receivables, late fees, and certain affiliate and advertising fees from the platform. From the first quarter of 2022 through the third quarter of 2023, we allocated 50% of revenue and gross profit from our BNPL platform to each of Square and Cash App. In the fourth quarter of 2023, we began reporting the financial results of our BNPL platform fully within Cash App.</t>
  </si>
  <si>
    <t>(1) In the fourth quarter of 2023, we began reporting the financial results of our BNPL platform fully within Cash App, rather than allocating 50% of revenue and gross profit to each of Square and Cash App. The financials above have been revised to conform to the new segment reporting for all relevant historical periods.</t>
  </si>
  <si>
    <t>(2) Corporate and other represents results related to products and services that are not assigned to a specific reportable segment, and intersegment eliminations. Comparable prior period amounts have not been disclosed as they were not material.</t>
  </si>
  <si>
    <t>Square</t>
  </si>
  <si>
    <t>Cash App</t>
  </si>
  <si>
    <t>Corporate / other</t>
  </si>
  <si>
    <t>Afterpay</t>
  </si>
  <si>
    <t>EV</t>
  </si>
  <si>
    <t>Price</t>
  </si>
  <si>
    <t>Shares issued</t>
  </si>
  <si>
    <t>NEW</t>
  </si>
  <si>
    <t>OLD</t>
  </si>
  <si>
    <t>% margin</t>
  </si>
  <si>
    <t>BNPL</t>
  </si>
  <si>
    <t>GMV</t>
  </si>
  <si>
    <t>Take rate</t>
  </si>
  <si>
    <t>Multiple Jan-22</t>
  </si>
  <si>
    <t>Bitcoin revs (Cash App)</t>
  </si>
  <si>
    <t>Bitcoin costs</t>
  </si>
  <si>
    <t>Gross margin</t>
  </si>
  <si>
    <t>Gross Profit</t>
  </si>
  <si>
    <t xml:space="preserve">Bitcoin </t>
  </si>
  <si>
    <t>Gross Profit split</t>
  </si>
  <si>
    <t>Other Cash App</t>
  </si>
  <si>
    <t>Corporate</t>
  </si>
  <si>
    <t>Group</t>
  </si>
  <si>
    <t>3.3% of GP in 2023</t>
  </si>
  <si>
    <t>% split</t>
  </si>
  <si>
    <t>GROUP</t>
  </si>
  <si>
    <t>Operating Metrics</t>
  </si>
  <si>
    <t>(In millions, except inflows per active)</t>
  </si>
  <si>
    <t>Block Operating Metrics</t>
  </si>
  <si>
    <t xml:space="preserve">Gross payment volume (GPV) </t>
  </si>
  <si>
    <t>YoY growth</t>
  </si>
  <si>
    <t>Sales and marketing expense, in accordance with GAAP</t>
  </si>
  <si>
    <t xml:space="preserve">     Cash App marketing costs(1)</t>
  </si>
  <si>
    <t xml:space="preserve">     YoY Growth</t>
  </si>
  <si>
    <t>Other sales and marketing expenses(2)</t>
  </si>
  <si>
    <t xml:space="preserve">     Square sales and marketing costs</t>
  </si>
  <si>
    <t xml:space="preserve">     Caviar sales and marketing costs</t>
  </si>
  <si>
    <t xml:space="preserve">    Sales and marketing excluding Cash App marketing costs and Caviar sales and marketing costs(1)</t>
  </si>
  <si>
    <t>Adjusted Free Cash Flow</t>
  </si>
  <si>
    <t xml:space="preserve">     Net cash provided by operating activities</t>
  </si>
  <si>
    <t xml:space="preserve">     Consumer receivables cash flows included within investing activities in the GAAP statement of cash flows:     </t>
  </si>
  <si>
    <t xml:space="preserve">          Payments for originations of consumer receivables </t>
  </si>
  <si>
    <t xml:space="preserve">          Proceeds from principal repayments and sales of consumer receivables </t>
  </si>
  <si>
    <t xml:space="preserve">     Less: Purchase of property and equipment </t>
  </si>
  <si>
    <t xml:space="preserve">     Reversal of:</t>
  </si>
  <si>
    <t xml:space="preserve">          Changes in settlements receivable </t>
  </si>
  <si>
    <t xml:space="preserve">          Changes in customers payable</t>
  </si>
  <si>
    <t xml:space="preserve">          Changes in settlements payable </t>
  </si>
  <si>
    <t xml:space="preserve">          Sales, principal payments and forgiveness of PPP loans </t>
  </si>
  <si>
    <t xml:space="preserve">     Adjusted Free Cash Flow</t>
  </si>
  <si>
    <t>Square Operating Metrics</t>
  </si>
  <si>
    <t>Square GPV</t>
  </si>
  <si>
    <t>Square GPV mix by seller size</t>
  </si>
  <si>
    <t xml:space="preserve">    Micro (&lt;$125K GPV)</t>
  </si>
  <si>
    <t xml:space="preserve">    SMB ($125K-$500K GPV)</t>
  </si>
  <si>
    <t xml:space="preserve">    Mid-market (&gt;$500K GPV)</t>
  </si>
  <si>
    <t xml:space="preserve">    Larger Sellers (&gt;$125K GPV)</t>
  </si>
  <si>
    <t xml:space="preserve">Square international gross profit </t>
  </si>
  <si>
    <t>BNPL Platform contribution to Square international gross profit</t>
  </si>
  <si>
    <t>Total Square international gross profit ex BNPL Platform</t>
  </si>
  <si>
    <t>PPP loan forgiveness revenue and gross profit</t>
  </si>
  <si>
    <t>Square loans originations</t>
  </si>
  <si>
    <t>Cash App Operating Metrics</t>
  </si>
  <si>
    <t>Cash App Inflows Framework(3)</t>
  </si>
  <si>
    <t>Actives (end of quarter month)</t>
  </si>
  <si>
    <t xml:space="preserve">Inflows per active </t>
  </si>
  <si>
    <t xml:space="preserve">Monetization rate </t>
  </si>
  <si>
    <t>Cash App Card actives (end of quarter month)</t>
  </si>
  <si>
    <t>Cash App direct deposit actives (end of quarter month)</t>
  </si>
  <si>
    <t>BNPL Platform gross merchandise value (GMV)</t>
  </si>
  <si>
    <t>BNPL Platform losses as a percent of GMV</t>
  </si>
  <si>
    <t>Note: Numbers may be rounded. Information presented within this file was previously made available in prior Shareholder Letters, Investor Day presentations, and earnings calls.</t>
  </si>
  <si>
    <r>
      <rPr>
        <sz val="7"/>
        <color rgb="FF000000"/>
        <rFont val="Arial"/>
        <family val="2"/>
      </rPr>
      <t xml:space="preserve">Note: GPV includes Square GPV and Cash App Business GPV. Square GPV is defined as the total dollar amount of all card payments processed by sellers using Square, net of refunds, and ACH transfers. Cash App Business GPV comprises Cash App activity related to peer-to-peer transactions received by business accounts and peer-to-peer payments sent from a credit card. GPV does not include transactions from our </t>
    </r>
    <r>
      <rPr>
        <sz val="7"/>
        <color rgb="FF000000"/>
        <rFont val="Arial"/>
        <family val="2"/>
      </rPr>
      <t>“buy now, pay later” (BNPL)</t>
    </r>
    <r>
      <rPr>
        <sz val="7"/>
        <color rgb="FF000000"/>
        <rFont val="Arial"/>
        <family val="2"/>
      </rPr>
      <t xml:space="preserve"> platform because GPV is related only to transaction-based revenue and not to subscription and services-based revenue. GPV excludes card payments processed for Starbucks. </t>
    </r>
  </si>
  <si>
    <t>(1) Cash App marketing costs do not include personnel or other immaterial costs. In the third quarter of 2022, we reclassified marketing expenses related to our BNPL platform from ‘Cash App sales and marketing’ expenses to ‘Other sales and marketing’ expenses. In the first quarter of 2022, this amount was $29 million. In the second quarter of 2022, this amount was $38 million. Accordingly, year over year 'Cash App sales and marketing' and 'Other sales and marketing' expense growth rates provided in this file are calculated assuming this reclassification took place in the first quarter of 2022. In the fourth quarter of 2023, we began reporting BNPL platform sales and marketing expenses within Cash App. For the quarterly financials presented in this file, the year-over-year growth rates for Cash App marketing expenses beginning in the fourth quarter of 2023 are calculated assuming this reporting classification took place in the fourth quarter of 2022. For the annual financials presented in this file, the year-over-year growth rates for Cash App marketing expenses beginning in 2023 are calculated assuming this reporting classification took place in the first quarter of 2022.</t>
  </si>
  <si>
    <t>(2) Other sales and marketing expenses include expenses related to Square, our BNPL platform, and TIDAL through the third quarter of 2023. In the fourth quarter of 2023, we began reporting BNPL platform sales and marketing expenses within Cash App. For the quarterly financials presented in this file, the year-over-year growth rates for Other sales and marketing expenses beginning in the fourth quarter of 2023 are calculated assuming this reporting classification took place in the fourth quarter of 2022. For the annual financials presented in this file, the year-over-year growth rates for Other sales and marketing expenses beginning in 2023 are calculated assuming this reporting classification took place in the first quarter of 2022. Beginning in the fourth quarter of 2020, Cash App marketing costs include referrals. Therefore, Cash App marketing costs beginning in the fourth quarter of 2020 are not directly comparable to prior periods and the year-over-year growth rates will differ.</t>
  </si>
  <si>
    <t>(3) A transacting active is a Cash App account that has at least one financial transaction using any product or service within Cash App during a specified period. A transacting active for a specific Cash App product has at least one financial transaction using that product during the specified period and is referred to as an active. Examples of transactions include sending or receiving a peer-to-peer payment, transferring money into or out of Cash App, making a purchase using Cash App Card, earning a dividend on a stock investment, and paying back a loan, among others. Certain of these accounts may share an alias identifier with one or more other transacting active accounts. This could represent, among other things, one customer with multiple accounts or multiple customers sharing one alias identifier (for example, families). Inflows per transacting active refers to total inflows in the quarter divided by monthly actives for the last month of the quarter. Inflows refers to funds entering the Cash App ecosystem. Inflows does not include the movement of funds when funds remain in the Cash App ecosystem or when funds leave the Cash App ecosystem, or inflows related to the Afterpay or Verse apps. Inflows from Verse actives were not material to overall inflows. We calculate monetization rate by dividing Cash App gross profit, excluding contributions from our BNPL platform, by Cash App inflows.</t>
  </si>
  <si>
    <t>SEGMENT</t>
  </si>
  <si>
    <t>DETAILS</t>
  </si>
  <si>
    <t>GMV, $ billion</t>
  </si>
  <si>
    <t>Gross take-rate</t>
  </si>
  <si>
    <t>Net take-rate</t>
  </si>
  <si>
    <t>% growth</t>
  </si>
  <si>
    <t>COGS</t>
  </si>
  <si>
    <t>as % revs</t>
  </si>
  <si>
    <t>Bitcoin GP</t>
  </si>
  <si>
    <t>GP</t>
  </si>
  <si>
    <t>Active users</t>
  </si>
  <si>
    <t>Inflows per active</t>
  </si>
  <si>
    <t xml:space="preserve">Inflows </t>
  </si>
  <si>
    <t xml:space="preserve">Q4 23 - alll Afterpay reallocated to Cash App </t>
  </si>
  <si>
    <t>Before Q4 23 - 50% spit of Afterpay between Square and Cash App</t>
  </si>
  <si>
    <t>Take-rate</t>
  </si>
  <si>
    <t>Gross profit (before risk)</t>
  </si>
  <si>
    <t>Risk</t>
  </si>
  <si>
    <t>Risk losses</t>
  </si>
  <si>
    <t>Gross Profit after losses</t>
  </si>
  <si>
    <t>NPL 90+</t>
  </si>
  <si>
    <t>NU</t>
  </si>
  <si>
    <t>MercadoPago</t>
  </si>
  <si>
    <t>Stage 3 - CC</t>
  </si>
  <si>
    <t>Stage 3 - Consumer loans</t>
  </si>
  <si>
    <t>Klarna</t>
  </si>
  <si>
    <t>Cash App / AfterPay</t>
  </si>
  <si>
    <t>how quickly write off?</t>
  </si>
  <si>
    <t>360 days</t>
  </si>
  <si>
    <t>120 days write off</t>
  </si>
  <si>
    <t>Klarna Stage 3</t>
  </si>
  <si>
    <t xml:space="preserve">Klarna </t>
  </si>
  <si>
    <t>Latest</t>
  </si>
  <si>
    <t>15-90</t>
  </si>
  <si>
    <t>Before due</t>
  </si>
  <si>
    <t>&lt;30</t>
  </si>
  <si>
    <t>30-60</t>
  </si>
  <si>
    <t>60-90</t>
  </si>
  <si>
    <t>&gt;90</t>
  </si>
  <si>
    <t>Total</t>
  </si>
  <si>
    <t>Adj GP margin</t>
  </si>
  <si>
    <t>y/y</t>
  </si>
  <si>
    <t>Losses</t>
  </si>
  <si>
    <t>Risk adj  Gross Profit</t>
  </si>
  <si>
    <t>GMV, $ bn</t>
  </si>
  <si>
    <t>$ million</t>
  </si>
  <si>
    <t>2024e</t>
  </si>
  <si>
    <t>2025e</t>
  </si>
  <si>
    <t>2026e</t>
  </si>
  <si>
    <t>EV/Gross profit</t>
  </si>
  <si>
    <t>Klara - late fees on Pay in 3</t>
  </si>
  <si>
    <t>PYPL no late fees?</t>
  </si>
  <si>
    <t>Klarna up to 14 days of 2nd and 3rd instalment</t>
  </si>
  <si>
    <t>Merchants signed up</t>
  </si>
  <si>
    <t>Merchants</t>
  </si>
  <si>
    <t>Countries</t>
  </si>
  <si>
    <t>Active consumers</t>
  </si>
  <si>
    <t xml:space="preserve">150m </t>
  </si>
  <si>
    <t>Transactions / day</t>
  </si>
  <si>
    <t>2.5m</t>
  </si>
  <si>
    <t>Employees</t>
  </si>
  <si>
    <t>5000+</t>
  </si>
  <si>
    <t>NPL</t>
  </si>
  <si>
    <t>~1%</t>
  </si>
  <si>
    <t>Stage 1</t>
  </si>
  <si>
    <t>Stage 2</t>
  </si>
  <si>
    <t>Stage 3</t>
  </si>
  <si>
    <t>SEK</t>
  </si>
  <si>
    <t>USD</t>
  </si>
  <si>
    <t>SEK m (unless stated)</t>
  </si>
  <si>
    <t>SEK / USD</t>
  </si>
  <si>
    <t>Transaction</t>
  </si>
  <si>
    <t>Interest income</t>
  </si>
  <si>
    <t>as % GMV</t>
  </si>
  <si>
    <t>Processing / servicing</t>
  </si>
  <si>
    <t>ECL</t>
  </si>
  <si>
    <t>Funding</t>
  </si>
  <si>
    <t>OpEx</t>
  </si>
  <si>
    <t>Tech / dev</t>
  </si>
  <si>
    <t>S&amp;M</t>
  </si>
  <si>
    <t>Customer service / ops</t>
  </si>
  <si>
    <t>G&amp;A</t>
  </si>
  <si>
    <t>D&amp;A</t>
  </si>
  <si>
    <t>Other</t>
  </si>
  <si>
    <t>Operating income</t>
  </si>
  <si>
    <t>Rule of 40</t>
  </si>
  <si>
    <t>Target multiple to 2023 GP</t>
  </si>
  <si>
    <t>Klarna IPO, $ million</t>
  </si>
  <si>
    <t>Affirm</t>
  </si>
  <si>
    <t>Interest bearing</t>
  </si>
  <si>
    <t>Core 0%</t>
  </si>
  <si>
    <t>Pay in 4 / split</t>
  </si>
  <si>
    <t>Transaction costs ex provisions</t>
  </si>
  <si>
    <t>losses</t>
  </si>
  <si>
    <t xml:space="preserve"> as % revs</t>
  </si>
  <si>
    <t>$ billion</t>
  </si>
  <si>
    <t>SHOUT</t>
  </si>
  <si>
    <t>Market Cap</t>
  </si>
  <si>
    <t>EV/Gross Profit</t>
  </si>
  <si>
    <t>VA</t>
  </si>
  <si>
    <t>Q2 24</t>
  </si>
  <si>
    <t>Q3 24</t>
  </si>
  <si>
    <t>Q4 24</t>
  </si>
  <si>
    <t>Q1 25</t>
  </si>
  <si>
    <t>Q2 25</t>
  </si>
  <si>
    <t>Cal</t>
  </si>
  <si>
    <t>GAAP operating income</t>
  </si>
  <si>
    <t>Stock compensation</t>
  </si>
  <si>
    <t>non GAAP adj operating income</t>
  </si>
  <si>
    <t>Adj non GAAP op income</t>
  </si>
  <si>
    <t>Network revenue</t>
  </si>
  <si>
    <t xml:space="preserve">     Transaction-based costs (inc interchange / assessment)</t>
  </si>
  <si>
    <t>Transaction costs inc provisions (inc funding)</t>
  </si>
  <si>
    <t>Stock comp as % revs</t>
  </si>
  <si>
    <t>AUD</t>
  </si>
  <si>
    <t>Implied EV</t>
  </si>
  <si>
    <t>EBIT</t>
  </si>
  <si>
    <t>PBT</t>
  </si>
  <si>
    <t xml:space="preserve"> - of which</t>
  </si>
  <si>
    <t xml:space="preserve"> Sales &amp; marketing</t>
  </si>
  <si>
    <t xml:space="preserve"> Consulting / contractor</t>
  </si>
  <si>
    <t>Opex</t>
  </si>
  <si>
    <t xml:space="preserve"> Employment</t>
  </si>
  <si>
    <t xml:space="preserve"> Stock comp</t>
  </si>
  <si>
    <t>Afterpay referred to as "Net margin", or gross profit after losses and funding costs / other</t>
  </si>
  <si>
    <t xml:space="preserve"> D&amp;A</t>
  </si>
  <si>
    <t xml:space="preserve"> Other Opex</t>
  </si>
  <si>
    <t xml:space="preserve"> Loss in fin liabilities at fair value</t>
  </si>
  <si>
    <t>Late fees</t>
  </si>
  <si>
    <t>Other (transaction)</t>
  </si>
  <si>
    <t>Target multiple 2024</t>
  </si>
  <si>
    <t>Affirm Q3 24 Q&amp;A</t>
  </si>
  <si>
    <t>Pricing initiatives</t>
  </si>
  <si>
    <t xml:space="preserve"> </t>
  </si>
  <si>
    <t>Unbundling credit card</t>
  </si>
  <si>
    <t>Capital One / Discover - most interesting move in 10 years</t>
  </si>
  <si>
    <t>Creating another network powerful given Discover's reach</t>
  </si>
  <si>
    <t>Good for Affirm, more plurality in the business</t>
  </si>
  <si>
    <t>Product?</t>
  </si>
  <si>
    <t>No different vs V/MA today</t>
  </si>
  <si>
    <t>Affirm to offer EPR subsidies, integrate differently with merchants</t>
  </si>
  <si>
    <t>Credit card adoption</t>
  </si>
  <si>
    <t>Unique product - teaching consumer new things</t>
  </si>
  <si>
    <t>Some love, some have issues</t>
  </si>
  <si>
    <t>a lot of fixes in last Q</t>
  </si>
  <si>
    <t>6% pay now previous, up to 10% pay now</t>
  </si>
  <si>
    <t>Rising rates</t>
  </si>
  <si>
    <t>GMV up and margins?</t>
  </si>
  <si>
    <t>higher for longer… ok with Affirm. Not too rates sensitive</t>
  </si>
  <si>
    <t>25 bps + / - doesn’t change cost of capital v much</t>
  </si>
  <si>
    <t>Affirm card</t>
  </si>
  <si>
    <t>Multi billion $ business. Number of features coming</t>
  </si>
  <si>
    <t>Bitcoin</t>
  </si>
  <si>
    <t>Cost</t>
  </si>
  <si>
    <t>Margin</t>
  </si>
  <si>
    <t>% change</t>
  </si>
  <si>
    <t>as % Transaction revs</t>
  </si>
  <si>
    <t>Transaction / subs</t>
  </si>
  <si>
    <t>Transactional for habitual revolver</t>
  </si>
  <si>
    <t>want to finance some things, not others</t>
  </si>
  <si>
    <t>that's the key message</t>
  </si>
  <si>
    <t>Don't need exclusivity to win</t>
  </si>
  <si>
    <t>offer unique products</t>
  </si>
  <si>
    <t>50m underwritten in the US alone</t>
  </si>
  <si>
    <t>no late fees, no compounded interest</t>
  </si>
  <si>
    <t>no hidden fees is not a lie..!!</t>
  </si>
  <si>
    <t>Brand</t>
  </si>
  <si>
    <t>Trying to build up the brand</t>
  </si>
  <si>
    <t>Merchants are increasingly thinking want to add</t>
  </si>
  <si>
    <t>Walmart</t>
  </si>
  <si>
    <t>Adding their own brand</t>
  </si>
  <si>
    <t>Fintech brand, ONE</t>
  </si>
  <si>
    <t>Showing One and Affirm in Walmart now</t>
  </si>
  <si>
    <t>Founded by PalPal founder Max Levchin</t>
  </si>
  <si>
    <t>Affirm Card</t>
  </si>
  <si>
    <t>Usage specific to verticals?</t>
  </si>
  <si>
    <t>Steady increase to Pay Now</t>
  </si>
  <si>
    <t>pre planned</t>
  </si>
  <si>
    <t>Actives</t>
  </si>
  <si>
    <t>net adds</t>
  </si>
  <si>
    <t>Inflow per active (end of Q month)</t>
  </si>
  <si>
    <t>Inflows per annum, $ billion</t>
  </si>
  <si>
    <t>Monetisation rate (Block definition)</t>
  </si>
  <si>
    <t>Gross profit Cash App</t>
  </si>
  <si>
    <t>less BNPL</t>
  </si>
  <si>
    <t>2027e</t>
  </si>
  <si>
    <t>2028e</t>
  </si>
  <si>
    <t>2029e</t>
  </si>
  <si>
    <t>2030e</t>
  </si>
  <si>
    <t>Less bitcoin GP</t>
  </si>
  <si>
    <t>Monetisation rate (after bitcoin)</t>
  </si>
  <si>
    <t>adj monetisation rate</t>
  </si>
  <si>
    <t>Growth</t>
  </si>
  <si>
    <t>Square less verticalised</t>
  </si>
  <si>
    <t>restaurants</t>
  </si>
  <si>
    <t>TME - travel / entertainment</t>
  </si>
  <si>
    <t>Unlike Toast</t>
  </si>
  <si>
    <t>Clover</t>
  </si>
  <si>
    <t xml:space="preserve">Fiserv acquisition </t>
  </si>
  <si>
    <t>A lot of ISVs, ISOs</t>
  </si>
  <si>
    <t>PayFac</t>
  </si>
  <si>
    <t>Propelled this development</t>
  </si>
  <si>
    <t>Stripe / Square (and PP) - merchant of record</t>
  </si>
  <si>
    <t>Venmo business profiles</t>
  </si>
  <si>
    <t>B2B2C</t>
  </si>
  <si>
    <t>Services that help their merchants attract/acquire customers</t>
  </si>
  <si>
    <t xml:space="preserve">returning customer pay again </t>
  </si>
  <si>
    <t>recognise based on phone number - like a Fastlane play</t>
  </si>
  <si>
    <t>Platform play</t>
  </si>
  <si>
    <t>Compete against Stripe - more CNP</t>
  </si>
  <si>
    <t>Adyen</t>
  </si>
  <si>
    <t>Online booking system</t>
  </si>
  <si>
    <t>Pay online</t>
  </si>
  <si>
    <t>and in-person</t>
  </si>
  <si>
    <t>Largely in-store still</t>
  </si>
  <si>
    <t>Cash App - Square integration</t>
  </si>
  <si>
    <t>On iPhone… Cash App has limitation on Tap to Pay. Limited by IOS</t>
  </si>
  <si>
    <t>So, need to pay with QR code OR use Cash App card</t>
  </si>
  <si>
    <t>Card penetration number interesting</t>
  </si>
  <si>
    <t>GPV, $ billion</t>
  </si>
  <si>
    <t>Quesrions</t>
  </si>
  <si>
    <t>Omnichannel..? Almost all off-line</t>
  </si>
  <si>
    <t>What is GTM as regards software / payments mix?</t>
  </si>
  <si>
    <t>Revenue as % active</t>
  </si>
  <si>
    <t>Adds</t>
  </si>
  <si>
    <t>higher growth</t>
  </si>
  <si>
    <t>afterpay integration</t>
  </si>
  <si>
    <t>how compares to venmo, others?</t>
  </si>
  <si>
    <t>slower growth</t>
  </si>
  <si>
    <t>improving the product - onboarding, redundancy</t>
  </si>
  <si>
    <t>GP (revs less costs)</t>
  </si>
  <si>
    <t>as % group GP</t>
  </si>
  <si>
    <t>AfterPay</t>
  </si>
  <si>
    <t>Costs</t>
  </si>
  <si>
    <t>Gross Profit (pre ECLs)</t>
  </si>
  <si>
    <t>Cash App GP ex Bitcoin/AfterPay</t>
  </si>
  <si>
    <t>GPV</t>
  </si>
  <si>
    <t>as % GPV</t>
  </si>
  <si>
    <t>Average BTC price</t>
  </si>
  <si>
    <t>Gross profit margin</t>
  </si>
  <si>
    <t>Cash App revenue ex Bitcoin/AfterPay</t>
  </si>
  <si>
    <t>% gross margin</t>
  </si>
  <si>
    <t>Q&amp;A</t>
  </si>
  <si>
    <t>What's the history, improving onboarding, redundancy</t>
  </si>
  <si>
    <t>Mix of in-store / on-line?</t>
  </si>
  <si>
    <t>Verticalisation / broader competition</t>
  </si>
  <si>
    <t>How many merchants</t>
  </si>
  <si>
    <t>TIDAL</t>
  </si>
  <si>
    <t>TBD</t>
  </si>
  <si>
    <t>How differentiation</t>
  </si>
  <si>
    <t>Integrate with Cash App?</t>
  </si>
  <si>
    <t>Small but gross margin sustainable?</t>
  </si>
  <si>
    <t>Omni channel?</t>
  </si>
  <si>
    <t>International</t>
  </si>
  <si>
    <t>How compete broadly?</t>
  </si>
  <si>
    <t>Moving up market</t>
  </si>
  <si>
    <t>Banking</t>
  </si>
  <si>
    <t>What disclosure do we get?</t>
  </si>
  <si>
    <t>Biggest area of GP growth</t>
  </si>
  <si>
    <t>Interest income vs credit revenue?</t>
  </si>
  <si>
    <t>Wellington</t>
  </si>
  <si>
    <t>Katie</t>
  </si>
  <si>
    <t>Goldman</t>
  </si>
  <si>
    <t>Tori</t>
  </si>
  <si>
    <t>UK and Europe Buy side</t>
  </si>
  <si>
    <t>Some sell side also</t>
  </si>
  <si>
    <t>IR team</t>
  </si>
  <si>
    <t>One hour call with sell-side CFO</t>
  </si>
  <si>
    <t>Same day</t>
  </si>
  <si>
    <t>3 PT, 11pm UK</t>
  </si>
  <si>
    <t>Matt Ross</t>
  </si>
  <si>
    <t>PM / Payments analyst</t>
  </si>
  <si>
    <t>End of this week - quiet period</t>
  </si>
  <si>
    <t>Aug 1st / 2nd</t>
  </si>
  <si>
    <t>Jack took over SQ in Sept-23</t>
  </si>
  <si>
    <t>engineering</t>
  </si>
  <si>
    <t>design</t>
  </si>
  <si>
    <t>priorities</t>
  </si>
  <si>
    <t>product</t>
  </si>
  <si>
    <t>platform - resilience, no outages, off-line / on-line</t>
  </si>
  <si>
    <t>onboarding - single App, have added extra steps</t>
  </si>
  <si>
    <t>testing quick selling restaurants</t>
  </si>
  <si>
    <t>consolidating e/thing into one App</t>
  </si>
  <si>
    <t>upsell and cross sell</t>
  </si>
  <si>
    <t>orders migration</t>
  </si>
  <si>
    <t xml:space="preserve">back end engineering </t>
  </si>
  <si>
    <t>help sellers pre-authorise for bard</t>
  </si>
  <si>
    <t xml:space="preserve">Inc share based comp: </t>
  </si>
  <si>
    <t>mid teens GP growth</t>
  </si>
  <si>
    <t>Today</t>
  </si>
  <si>
    <t>17% GP for GY 24</t>
  </si>
  <si>
    <t>Not happy with growth today</t>
  </si>
  <si>
    <t>TPV needs to improve</t>
  </si>
  <si>
    <t>2025 and beyond is meant to be turnaround</t>
  </si>
  <si>
    <t>Product side</t>
  </si>
  <si>
    <t>One App vs verticalisation</t>
  </si>
  <si>
    <t>Vs Toasts etc</t>
  </si>
  <si>
    <t>verticalised approach to GTM</t>
  </si>
  <si>
    <t>product / software for specific verticals</t>
  </si>
  <si>
    <t>GMs would own products, optimising for own P&amp;L</t>
  </si>
  <si>
    <t>App - simply consolidate into one App</t>
  </si>
  <si>
    <t>Coffee shops</t>
  </si>
  <si>
    <t>onboarding - food / SQ POS - this is what is applicable</t>
  </si>
  <si>
    <t>Balance sheet</t>
  </si>
  <si>
    <t>Credit losses</t>
  </si>
  <si>
    <t>Loan book</t>
  </si>
  <si>
    <t>as %</t>
  </si>
  <si>
    <t>Pay in 4</t>
  </si>
  <si>
    <t>No interest</t>
  </si>
  <si>
    <t>0-36%</t>
  </si>
  <si>
    <t>Monthly instalments (Core IB)</t>
  </si>
  <si>
    <t>Core 0% long</t>
  </si>
  <si>
    <t>Core 0% short</t>
  </si>
  <si>
    <t>IB</t>
  </si>
  <si>
    <t>Network revs calc</t>
  </si>
  <si>
    <t>Networks revs</t>
  </si>
  <si>
    <t>Merchant fees / Q</t>
  </si>
  <si>
    <t>Average interest rate (annualised)</t>
  </si>
  <si>
    <t>Split of revs from merchants</t>
  </si>
  <si>
    <t>Split of interest income</t>
  </si>
  <si>
    <t>ECL as % revs</t>
  </si>
  <si>
    <t>Gross Profit *</t>
  </si>
  <si>
    <t>* after funding and losses</t>
  </si>
  <si>
    <t>2024 GP</t>
  </si>
  <si>
    <t>Target multiple to 2024 GP</t>
  </si>
  <si>
    <t>Split of Square gross profit</t>
  </si>
  <si>
    <t>Software / payments</t>
  </si>
  <si>
    <t>Sidecar payments</t>
  </si>
  <si>
    <t>Square GP</t>
  </si>
  <si>
    <t>Banking is Square loans, Instant Transfer, Square Debit card</t>
  </si>
  <si>
    <t>Originations</t>
  </si>
  <si>
    <t>Single App - steer toward banking products</t>
  </si>
  <si>
    <t>Onboarding</t>
  </si>
  <si>
    <t>Local / food &amp; beverage</t>
  </si>
  <si>
    <t>Reliability / stay up for sellers if networks failed</t>
  </si>
  <si>
    <t>Banking gross product driving growth</t>
  </si>
  <si>
    <t>Q1 24 call</t>
  </si>
  <si>
    <t>Payments / software</t>
  </si>
  <si>
    <t>Financial services</t>
  </si>
  <si>
    <t xml:space="preserve"> of which Square</t>
  </si>
  <si>
    <t xml:space="preserve"> of which Cash App</t>
  </si>
  <si>
    <t>of which Banking</t>
  </si>
  <si>
    <t>of which Software / Payments</t>
  </si>
  <si>
    <t>as % total GP</t>
  </si>
  <si>
    <t>Fin Services (ex BNPL)</t>
  </si>
  <si>
    <t>Cash App core</t>
  </si>
  <si>
    <t xml:space="preserve">incs transaction fees on Cash App Card, interest on customer funds, cash deposits, </t>
  </si>
  <si>
    <t>Cash App Card Studio, ATM fees, Cash App Borrow, and Cash App Pay</t>
  </si>
  <si>
    <t>as % total</t>
  </si>
  <si>
    <t>1QFY-2024</t>
  </si>
  <si>
    <t>2QFY-2024</t>
  </si>
  <si>
    <t>3QFY-2024</t>
  </si>
  <si>
    <t>4QFY-2024</t>
  </si>
  <si>
    <t>FY-2024</t>
  </si>
  <si>
    <t>FY-2025</t>
  </si>
  <si>
    <t>FY-2026</t>
  </si>
  <si>
    <t>FY-2027</t>
  </si>
  <si>
    <t>FY-2023</t>
  </si>
  <si>
    <t>% diff</t>
  </si>
  <si>
    <t>Inflows/ active</t>
  </si>
  <si>
    <t>Inflows, $ billion</t>
  </si>
  <si>
    <t>Monetization rate</t>
  </si>
  <si>
    <t>BNPL GP</t>
  </si>
  <si>
    <t>GP margin</t>
  </si>
  <si>
    <t>Implied volume</t>
  </si>
  <si>
    <t>OpEx split</t>
  </si>
  <si>
    <t>Group OpEx</t>
  </si>
  <si>
    <t>Central</t>
  </si>
  <si>
    <t>Assumed gross margin</t>
  </si>
  <si>
    <t>Implied revenue</t>
  </si>
  <si>
    <t>EBIT margin</t>
  </si>
  <si>
    <t>EBIT split</t>
  </si>
  <si>
    <t>Other / Central</t>
  </si>
  <si>
    <t>Fin Services</t>
  </si>
  <si>
    <t>EBIT %</t>
  </si>
  <si>
    <t>diffs</t>
  </si>
  <si>
    <t>DCF, $ million</t>
  </si>
  <si>
    <t>Adj operating income</t>
  </si>
  <si>
    <t>Adjs</t>
  </si>
  <si>
    <t>% margin (to GP)</t>
  </si>
  <si>
    <t>% margin (to gross profit)</t>
  </si>
  <si>
    <t>Adj EBIT</t>
  </si>
  <si>
    <t>WACC</t>
  </si>
  <si>
    <t>Rf</t>
  </si>
  <si>
    <t>Risk premium</t>
  </si>
  <si>
    <t>Cd</t>
  </si>
  <si>
    <t>Post-tax Cd</t>
  </si>
  <si>
    <t>ERP</t>
  </si>
  <si>
    <t>Beta</t>
  </si>
  <si>
    <t>CoE</t>
  </si>
  <si>
    <t>D/E</t>
  </si>
  <si>
    <t>Notes</t>
  </si>
  <si>
    <t>Multiple</t>
  </si>
  <si>
    <t>Base</t>
  </si>
  <si>
    <t>2024 GP after losses</t>
  </si>
  <si>
    <t>%</t>
  </si>
  <si>
    <t>Total EV</t>
  </si>
  <si>
    <t>2024 TM $ (GP)</t>
  </si>
  <si>
    <t>Net debt</t>
  </si>
  <si>
    <t>Equity</t>
  </si>
  <si>
    <t>Benchmark Affirm</t>
  </si>
  <si>
    <t>Benchmark PYPL</t>
  </si>
  <si>
    <t>Transaction / credit losses</t>
  </si>
  <si>
    <t>Fin services</t>
  </si>
  <si>
    <t>Square (charge backs)</t>
  </si>
  <si>
    <t>Core Cash App revenue</t>
  </si>
  <si>
    <t>After BNPL</t>
  </si>
  <si>
    <t>Cash App Revenue</t>
  </si>
  <si>
    <t>Cash App GP less AfterPay</t>
  </si>
  <si>
    <t>Core Cash App, ex-bitcoin, ex-AfterPay</t>
  </si>
  <si>
    <t>Core Cash GP</t>
  </si>
  <si>
    <t>Monetization rate (Block reported)</t>
  </si>
  <si>
    <t>Gross profit after losses</t>
  </si>
  <si>
    <t>GP after losses</t>
  </si>
  <si>
    <t xml:space="preserve">2024 GP </t>
  </si>
  <si>
    <t>BNPL revenue</t>
  </si>
  <si>
    <t>Adj. Cash App GP</t>
  </si>
  <si>
    <t>YE shares</t>
  </si>
  <si>
    <t>Basic</t>
  </si>
  <si>
    <t>Fully diluted</t>
  </si>
  <si>
    <t>Implied YE diluted</t>
  </si>
  <si>
    <t>Class A</t>
  </si>
  <si>
    <t>Class B</t>
  </si>
  <si>
    <t>Net income</t>
  </si>
  <si>
    <t>Questions</t>
  </si>
  <si>
    <t>Change in shares</t>
  </si>
  <si>
    <t>Change in basic</t>
  </si>
  <si>
    <t>Fully diluted SHOUT</t>
  </si>
  <si>
    <t>Diluted issued</t>
  </si>
  <si>
    <t>Buy back</t>
  </si>
  <si>
    <t>RULE OF 40</t>
  </si>
  <si>
    <t>Guide 2026 - mid 20%s</t>
  </si>
  <si>
    <t>Guide 2026 - mid-teens gross profit growth</t>
  </si>
  <si>
    <t>Gross Profit less BNPL</t>
  </si>
  <si>
    <t>Q1 25e</t>
  </si>
  <si>
    <t>Q2 25e</t>
  </si>
  <si>
    <t>Q3 25e</t>
  </si>
  <si>
    <t>Q4 25e</t>
  </si>
  <si>
    <t>Other community/P2P</t>
  </si>
  <si>
    <t>as % GP</t>
  </si>
  <si>
    <t xml:space="preserve">Net income </t>
  </si>
  <si>
    <t>EPS basic</t>
  </si>
  <si>
    <t>EPS diluted</t>
  </si>
  <si>
    <t>Adj net income (non GAAP)</t>
  </si>
  <si>
    <t xml:space="preserve"> Adjustments</t>
  </si>
  <si>
    <t>Adjusted operating income (non GAAP)</t>
  </si>
  <si>
    <t>Adjustments</t>
  </si>
  <si>
    <t>Guide</t>
  </si>
  <si>
    <t>2165-2185</t>
  </si>
  <si>
    <t>2024 guide - 8780</t>
  </si>
  <si>
    <t>FY 2024</t>
  </si>
  <si>
    <t>margin</t>
  </si>
  <si>
    <t>Previous</t>
  </si>
  <si>
    <t>Implied opex</t>
  </si>
  <si>
    <t>NSR</t>
  </si>
  <si>
    <t>Multiples</t>
  </si>
  <si>
    <t>Gross debt</t>
  </si>
  <si>
    <t xml:space="preserve">Cash </t>
  </si>
  <si>
    <t>less facilities</t>
  </si>
  <si>
    <t>Warehousing facilities - LT</t>
  </si>
  <si>
    <t>Warehousing facilities - current</t>
  </si>
  <si>
    <t>Cash and equivalents</t>
  </si>
  <si>
    <t>FCF</t>
  </si>
  <si>
    <t xml:space="preserve">     Other</t>
  </si>
  <si>
    <t xml:space="preserve">     Tax adjs</t>
  </si>
  <si>
    <t>Adj net income</t>
  </si>
  <si>
    <t xml:space="preserve">Adjs </t>
  </si>
  <si>
    <t>PE (GAAP)</t>
  </si>
  <si>
    <t>PE (non GAAP)</t>
  </si>
  <si>
    <t>Adj net income ex-stock comp</t>
  </si>
  <si>
    <t>PE (non GAAP, ex stock comp)</t>
  </si>
  <si>
    <t>as % gross profit</t>
  </si>
  <si>
    <t>PEG (non GAAP, ex stock comp)</t>
  </si>
  <si>
    <t>PEG (non GAAP)</t>
  </si>
  <si>
    <t>PEG (GAAP)</t>
  </si>
  <si>
    <t>Next year's growth</t>
  </si>
  <si>
    <t>Cash App Pay</t>
  </si>
  <si>
    <t>Annualised GPV</t>
  </si>
  <si>
    <t>take-rate on Software / Payments</t>
  </si>
  <si>
    <t>Gross profit, $m</t>
  </si>
  <si>
    <t>GPV / q, $ billion</t>
  </si>
  <si>
    <t>Take rate (net)</t>
  </si>
  <si>
    <t>GPV/active, $</t>
  </si>
  <si>
    <t>PayPal branded</t>
  </si>
  <si>
    <t>Cash App as % PYPL</t>
  </si>
  <si>
    <t>Gross Profit as % of Cash App</t>
  </si>
  <si>
    <t>Core gross profit split</t>
  </si>
  <si>
    <t>Financial services gross profit</t>
  </si>
  <si>
    <t>Instant deposit gross profit</t>
  </si>
  <si>
    <t>Instant deposits</t>
  </si>
  <si>
    <t>Summary gross profit split</t>
  </si>
  <si>
    <t>Split as % gross profit</t>
  </si>
  <si>
    <t>Fin services Square</t>
  </si>
  <si>
    <t>Fin services Cash App (ex BNPL)</t>
  </si>
  <si>
    <t>Cash App core includes Instant deposit, P2P funded through credit cards and business accounts</t>
  </si>
  <si>
    <t>Financial services includes:</t>
  </si>
  <si>
    <t xml:space="preserve">    Cash App Card Studio, ATM fees, Cash App Borrow, and Cash App Pay</t>
  </si>
  <si>
    <t xml:space="preserve"> - Square - lending, issuance</t>
  </si>
  <si>
    <t xml:space="preserve"> - Cash App - transaction fees on Cash App Card, interest on customer funds, cash deposits, </t>
  </si>
  <si>
    <t>Upside</t>
  </si>
  <si>
    <t>Sezzle</t>
  </si>
  <si>
    <t>Zip</t>
  </si>
  <si>
    <t>Weighted average</t>
  </si>
  <si>
    <t>$6 billion as of Q1 23</t>
  </si>
  <si>
    <t>PayPal*</t>
  </si>
  <si>
    <t>PayPal *</t>
  </si>
  <si>
    <t>Lending</t>
  </si>
  <si>
    <t>No of loans</t>
  </si>
  <si>
    <t>Value per loan</t>
  </si>
  <si>
    <t>Banking includes Square Loans, Instant Transfer, Square debit card</t>
  </si>
  <si>
    <t>Yield</t>
  </si>
  <si>
    <t>Loan duration, months</t>
  </si>
  <si>
    <t>Average duration</t>
  </si>
  <si>
    <t>Square Credit card launched in 2023</t>
  </si>
  <si>
    <t>Instant transfer is instant or same days fund receipts for sellers</t>
  </si>
  <si>
    <t>US</t>
  </si>
  <si>
    <t>Gross profit split of Square</t>
  </si>
  <si>
    <t>as % y/y growth</t>
  </si>
  <si>
    <t>as % 3-year growth</t>
  </si>
  <si>
    <t>Australia</t>
  </si>
  <si>
    <t>Total international revenue</t>
  </si>
  <si>
    <t>UK / Clearpay</t>
  </si>
  <si>
    <t>implied Cash App core</t>
  </si>
  <si>
    <t>Total International gross profit</t>
  </si>
  <si>
    <t>International split</t>
  </si>
  <si>
    <t>as % Group Gross Profit</t>
  </si>
  <si>
    <t>as % growth (y/y)</t>
  </si>
  <si>
    <t xml:space="preserve">US revenue </t>
  </si>
  <si>
    <t>Assume all Square international GP is payments/software</t>
  </si>
  <si>
    <t>International Payments/Software</t>
  </si>
  <si>
    <t>US Payments/software</t>
  </si>
  <si>
    <t>Interchange</t>
  </si>
  <si>
    <t>TPV, $ billion</t>
  </si>
  <si>
    <t>Users, m</t>
  </si>
  <si>
    <t>TPV/user, $ per annum</t>
  </si>
  <si>
    <t>per month, $</t>
  </si>
  <si>
    <t>Assumed interchange</t>
  </si>
  <si>
    <t>Cash App Card</t>
  </si>
  <si>
    <t>Can they sell Square international…how would that work, keep the brand?</t>
  </si>
  <si>
    <t>Chase</t>
  </si>
  <si>
    <t>Pay later not offered at point of purchase… an issue?</t>
  </si>
  <si>
    <t>except Amazon</t>
  </si>
  <si>
    <t>Tax rate?</t>
  </si>
  <si>
    <t>How to compare Venmo with Cash App?</t>
  </si>
  <si>
    <t>Cash App aspiring to much more</t>
  </si>
  <si>
    <t>Venmo 90m "active" users Q2 22 (at least once), or 15m MAUs</t>
  </si>
  <si>
    <t>https://www.paymentsdive.com/news/paypal-venmo-P2P-Amazon-payments-growth/644223/</t>
  </si>
  <si>
    <t>58 million monthy actives by Mar-23</t>
  </si>
  <si>
    <t>Venmo</t>
  </si>
  <si>
    <t>Instant deposit</t>
  </si>
  <si>
    <t>y</t>
  </si>
  <si>
    <t>Borrow</t>
  </si>
  <si>
    <t>Debit card</t>
  </si>
  <si>
    <t>Pay</t>
  </si>
  <si>
    <t>Venmo pay</t>
  </si>
  <si>
    <t>y - 1.75%</t>
  </si>
  <si>
    <t>??</t>
  </si>
  <si>
    <t>ATM fees</t>
  </si>
  <si>
    <t>y - Cash App Pay, 4m users</t>
  </si>
  <si>
    <t>y - Cash App Borrow</t>
  </si>
  <si>
    <t>Interest on funds</t>
  </si>
  <si>
    <t>Demog</t>
  </si>
  <si>
    <t>What is the Square international outlook?</t>
  </si>
  <si>
    <t>Competitve landscape</t>
  </si>
  <si>
    <t>costly, each market has localised requirements</t>
  </si>
  <si>
    <t>plus software ecosystem</t>
  </si>
  <si>
    <t>probably yes.. If the have sufficient installed base</t>
  </si>
  <si>
    <t>keep brand…? Tech stack likely to need integrating</t>
  </si>
  <si>
    <t>Comments</t>
  </si>
  <si>
    <t>SQ - room to move up mid-market</t>
  </si>
  <si>
    <t>Reliability</t>
  </si>
  <si>
    <t>energy / investment for expanding..?</t>
  </si>
  <si>
    <t>PYPL results</t>
  </si>
  <si>
    <t>August dates</t>
  </si>
  <si>
    <t>SQ international plans… not mentioned?</t>
  </si>
  <si>
    <t>into Cash App</t>
  </si>
  <si>
    <t>Afterpay App in Australia</t>
  </si>
  <si>
    <t>distributed by PSPs/acquirers</t>
  </si>
  <si>
    <t>and go direct</t>
  </si>
  <si>
    <t>presented as branded checkout</t>
  </si>
  <si>
    <t>presented on the checkout page</t>
  </si>
  <si>
    <t>Klarna went further up the funnel</t>
  </si>
  <si>
    <t>maybe from the landing page</t>
  </si>
  <si>
    <t>What are the network effects</t>
  </si>
  <si>
    <t>Are the flywheels working</t>
  </si>
  <si>
    <t>Cash App has become the main growth engine</t>
  </si>
  <si>
    <t>Risks here</t>
  </si>
  <si>
    <t>direct deposit</t>
  </si>
  <si>
    <t>2 days earlier</t>
  </si>
  <si>
    <t>pay to get money out quickly</t>
  </si>
  <si>
    <t>Afterpay distribution for Cash App Pay</t>
  </si>
  <si>
    <t>Afterpay merchant base</t>
  </si>
  <si>
    <t>Ask them to accept Cash App</t>
  </si>
  <si>
    <t>How many Afterpay merchants?</t>
  </si>
  <si>
    <t>Venmo and Cash App similar</t>
  </si>
  <si>
    <t>Demographic wise - similar</t>
  </si>
  <si>
    <t>SW - Square competition in the US</t>
  </si>
  <si>
    <t>SW - Write on instant deposit.. How sustainable? Link in with RTP</t>
  </si>
  <si>
    <t>Cash App 13 and over</t>
  </si>
  <si>
    <t>% split gross profit</t>
  </si>
  <si>
    <t>SW - Network effect</t>
  </si>
  <si>
    <t>SW - Afterpay into Cash App</t>
  </si>
  <si>
    <t>Loan book, SEK billion</t>
  </si>
  <si>
    <t>Loan book, $ billion</t>
  </si>
  <si>
    <t>~12x per year</t>
  </si>
  <si>
    <t>PayPal</t>
  </si>
  <si>
    <t>Others</t>
  </si>
  <si>
    <t>Total BNPL</t>
  </si>
  <si>
    <t>2032 est</t>
  </si>
  <si>
    <t>2024 est</t>
  </si>
  <si>
    <t>FY 23</t>
  </si>
  <si>
    <t>FY 22</t>
  </si>
  <si>
    <t>Single use payment card - in-App, with participating retailers</t>
  </si>
  <si>
    <t>in-app only, personalised</t>
  </si>
  <si>
    <t>Out of network</t>
  </si>
  <si>
    <t>In-network</t>
  </si>
  <si>
    <t>Where Afterpay accepted directly by the merchant</t>
  </si>
  <si>
    <t>Amazon available in App, for example, though not directl</t>
  </si>
  <si>
    <t>% take rate</t>
  </si>
  <si>
    <t>Blended take-rate</t>
  </si>
  <si>
    <t>Blended network fees</t>
  </si>
  <si>
    <t>Network fees</t>
  </si>
  <si>
    <t xml:space="preserve">Total </t>
  </si>
  <si>
    <t>Split of GMV</t>
  </si>
  <si>
    <t>Check: Block definition of losses at Afterpay is OK</t>
  </si>
  <si>
    <t>average US</t>
  </si>
  <si>
    <t>Balances</t>
  </si>
  <si>
    <t>Deposit balance, $ billion</t>
  </si>
  <si>
    <t>Average yield on cash</t>
  </si>
  <si>
    <t>Interest earned</t>
  </si>
  <si>
    <t>Cash App Fin Services</t>
  </si>
  <si>
    <t>Cash App active</t>
  </si>
  <si>
    <t>Balance/active</t>
  </si>
  <si>
    <t>Cash App revs mix, ex BNPL and bitcoin</t>
  </si>
  <si>
    <t>International ex BNPL</t>
  </si>
  <si>
    <t>Square US</t>
  </si>
  <si>
    <t>Square International</t>
  </si>
  <si>
    <t xml:space="preserve">     Transaction, loan, and ECLs</t>
  </si>
  <si>
    <t xml:space="preserve">     Amort - customer / acquired intangibles</t>
  </si>
  <si>
    <t>Headcount</t>
  </si>
  <si>
    <t>Clean OpEx</t>
  </si>
  <si>
    <t>Adjusted OpEx</t>
  </si>
  <si>
    <t>FY 24 guide</t>
  </si>
  <si>
    <t xml:space="preserve"> of which loan losses</t>
  </si>
  <si>
    <t>Adj OpEx</t>
  </si>
  <si>
    <t>Adj operating income margin</t>
  </si>
  <si>
    <t>Financual services</t>
  </si>
  <si>
    <t>Growth of Gross Profit y/y</t>
  </si>
  <si>
    <t>Cash Fin Services</t>
  </si>
  <si>
    <t>Card interchange</t>
  </si>
  <si>
    <t>Commercial</t>
  </si>
  <si>
    <t>Interest on customer funds</t>
  </si>
  <si>
    <t>Cash App Borrow</t>
  </si>
  <si>
    <t>Implied duration, weeks</t>
  </si>
  <si>
    <t>Other community / P2P *</t>
  </si>
  <si>
    <t>Cash</t>
  </si>
  <si>
    <t>ST restricted cash</t>
  </si>
  <si>
    <t>LT restricted cash</t>
  </si>
  <si>
    <t>Other (ATM, Studio)</t>
  </si>
  <si>
    <t>Cash App Pay actives</t>
  </si>
  <si>
    <t>Cash App Card actives</t>
  </si>
  <si>
    <t>Pay as % Card users</t>
  </si>
  <si>
    <t xml:space="preserve">Cash App </t>
  </si>
  <si>
    <t>Customers</t>
  </si>
  <si>
    <t>Inflows</t>
  </si>
  <si>
    <t>Square loans</t>
  </si>
  <si>
    <t>Consumer (Cash App)</t>
  </si>
  <si>
    <t>Cost of losses</t>
  </si>
  <si>
    <t>(split estimated)</t>
  </si>
  <si>
    <t>Total (reported)</t>
  </si>
  <si>
    <t>Loans held for investment, $ m</t>
  </si>
  <si>
    <t>Loans held for sale, $ m</t>
  </si>
  <si>
    <t>Total loans (net), $ m</t>
  </si>
  <si>
    <t>Borrow originations</t>
  </si>
  <si>
    <t>Funding cost</t>
  </si>
  <si>
    <t>Funding expense</t>
  </si>
  <si>
    <t>Revenue = Gross profit</t>
  </si>
  <si>
    <t>Flat fee on origination</t>
  </si>
  <si>
    <t>Late fees (estimate)</t>
  </si>
  <si>
    <t>Estimated loan size, $</t>
  </si>
  <si>
    <t>No of loans, million</t>
  </si>
  <si>
    <t>Consumer (Cash App) loans, net</t>
  </si>
  <si>
    <t>GPV per month</t>
  </si>
  <si>
    <t>GPV per Q</t>
  </si>
  <si>
    <t>q/q growth</t>
  </si>
  <si>
    <t>y/y growth</t>
  </si>
  <si>
    <t>Split of fin services</t>
  </si>
  <si>
    <t>take-rate</t>
  </si>
  <si>
    <t>q/q</t>
  </si>
  <si>
    <t>Q3 25</t>
  </si>
  <si>
    <t>Q4 25</t>
  </si>
  <si>
    <t>Ref: PayPal branded</t>
  </si>
  <si>
    <t>adds</t>
  </si>
  <si>
    <t xml:space="preserve">as % Cash App </t>
  </si>
  <si>
    <t>TPV / active</t>
  </si>
  <si>
    <t>% increase (q/q)</t>
  </si>
  <si>
    <t>Gross profit as % Cash App</t>
  </si>
  <si>
    <t>as Cash App actives</t>
  </si>
  <si>
    <t>Fin Services as % total</t>
  </si>
  <si>
    <t>Other core Cash App</t>
  </si>
  <si>
    <t>Interest on consumer funds</t>
  </si>
  <si>
    <t>Consumer funds</t>
  </si>
  <si>
    <t>interest income for Cash App $45m in Q2</t>
  </si>
  <si>
    <t>$ 4 billion</t>
  </si>
  <si>
    <t>second biggest</t>
  </si>
  <si>
    <t>Total Cash App financial services</t>
  </si>
  <si>
    <t>(transfers to debit card or bank account)</t>
  </si>
  <si>
    <t>Contribution to growth</t>
  </si>
  <si>
    <t>Cash App card</t>
  </si>
  <si>
    <t>Other fin services (ATM, Studio)</t>
  </si>
  <si>
    <t>H1 24</t>
  </si>
  <si>
    <t>Customer balances</t>
  </si>
  <si>
    <t>£ million</t>
  </si>
  <si>
    <t>70% organic joiners</t>
  </si>
  <si>
    <t>68% increase in primary banking partners</t>
  </si>
  <si>
    <t>Payments</t>
  </si>
  <si>
    <t>Subscriptions</t>
  </si>
  <si>
    <t>Wealth</t>
  </si>
  <si>
    <t>FX</t>
  </si>
  <si>
    <t>Implied rate</t>
  </si>
  <si>
    <t>Customers, million</t>
  </si>
  <si>
    <t>Interest expense</t>
  </si>
  <si>
    <t>Payments (card/interchange)</t>
  </si>
  <si>
    <t>Revenue split as %</t>
  </si>
  <si>
    <t>Off balance sheet accounts</t>
  </si>
  <si>
    <t>Loans outstanding</t>
  </si>
  <si>
    <t>Total interest income</t>
  </si>
  <si>
    <t>Total balance per customer</t>
  </si>
  <si>
    <t>Lending rate</t>
  </si>
  <si>
    <t>change</t>
  </si>
  <si>
    <t>Volume / customer</t>
  </si>
  <si>
    <t>Payment volumes, £ billion</t>
  </si>
  <si>
    <t>per month</t>
  </si>
  <si>
    <t>Customer deposits on BS, £ billion</t>
  </si>
  <si>
    <t>Customer funds</t>
  </si>
  <si>
    <t>Total interest expense</t>
  </si>
  <si>
    <t>Other expenses (swaps, banking partner)</t>
  </si>
  <si>
    <t>Processing expense</t>
  </si>
  <si>
    <t>Fees expense</t>
  </si>
  <si>
    <t>Admin expenses</t>
  </si>
  <si>
    <t xml:space="preserve"> as % vols</t>
  </si>
  <si>
    <t>Payment revs</t>
  </si>
  <si>
    <t>as % lending income</t>
  </si>
  <si>
    <t>Income from loans</t>
  </si>
  <si>
    <t>Non lending credit losses</t>
  </si>
  <si>
    <t>Total COGS</t>
  </si>
  <si>
    <t>as % margin</t>
  </si>
  <si>
    <t>Total revenue</t>
  </si>
  <si>
    <t>Adv and marketing</t>
  </si>
  <si>
    <t>Total PBT</t>
  </si>
  <si>
    <t>Interest earned on deposits on BS</t>
  </si>
  <si>
    <t xml:space="preserve"> (inc off BS)</t>
  </si>
  <si>
    <t>% base paying subscription</t>
  </si>
  <si>
    <t>average payment/customer</t>
  </si>
  <si>
    <t xml:space="preserve">(incs delivery of cards, remittances, sale of lounge passes, merchant acquiring, sale of insurance) </t>
  </si>
  <si>
    <t>Total subs paying base</t>
  </si>
  <si>
    <t>payment per month</t>
  </si>
  <si>
    <t>Assumed yield (= WISE x-border)</t>
  </si>
  <si>
    <t>Volume</t>
  </si>
  <si>
    <t>WISE volume</t>
  </si>
  <si>
    <t>Revolut as % WISE</t>
  </si>
  <si>
    <t>Per sub added</t>
  </si>
  <si>
    <t>FTEs</t>
  </si>
  <si>
    <t>cost per employee</t>
  </si>
  <si>
    <t>Staff (inc stock) costs</t>
  </si>
  <si>
    <t>Tax</t>
  </si>
  <si>
    <t>as % PBT</t>
  </si>
  <si>
    <t>PE</t>
  </si>
  <si>
    <t>% as primary accounts</t>
  </si>
  <si>
    <t>FTE adds</t>
  </si>
  <si>
    <t>Total admin expenses</t>
  </si>
  <si>
    <t>as % growth</t>
  </si>
  <si>
    <t>% of growth from interest income</t>
  </si>
  <si>
    <t>Comps</t>
  </si>
  <si>
    <t>S&amp;M as % revs</t>
  </si>
  <si>
    <t>ECL as  revs</t>
  </si>
  <si>
    <t>Revolut</t>
  </si>
  <si>
    <t>ARPAC, £</t>
  </si>
  <si>
    <t>£-USD</t>
  </si>
  <si>
    <t>ARPAC, USD</t>
  </si>
  <si>
    <t>ARPAC, $</t>
  </si>
  <si>
    <t>Customers per FTE</t>
  </si>
  <si>
    <t>Net income margin</t>
  </si>
  <si>
    <t>Cash App fin services</t>
  </si>
  <si>
    <t>Group gross profit growth</t>
  </si>
  <si>
    <t>Square fin services</t>
  </si>
  <si>
    <t>(fom Q2 24)</t>
  </si>
  <si>
    <t>Growth rates</t>
  </si>
  <si>
    <t>Cash App - H2 moderate GP growth slightly on Q2</t>
  </si>
  <si>
    <t>Square - similar levels to Q2</t>
  </si>
  <si>
    <t>Cash App actives</t>
  </si>
  <si>
    <t>Cash Card actives</t>
  </si>
  <si>
    <t>Cash card direct depositors</t>
  </si>
  <si>
    <t>Cash App active ARPU</t>
  </si>
  <si>
    <t>ARPU active (per Q)</t>
  </si>
  <si>
    <t>Square GMV</t>
  </si>
  <si>
    <t>Inflows/active</t>
  </si>
  <si>
    <t>Lightspeed</t>
  </si>
  <si>
    <t>vat</t>
  </si>
  <si>
    <t>we pay</t>
  </si>
  <si>
    <t>Toast</t>
  </si>
  <si>
    <t>after</t>
  </si>
  <si>
    <t>before</t>
  </si>
  <si>
    <t>restaurant</t>
  </si>
  <si>
    <t>assume</t>
  </si>
  <si>
    <t>Locations</t>
  </si>
  <si>
    <t>ARPU</t>
  </si>
  <si>
    <t>Revs</t>
  </si>
  <si>
    <t>GTV</t>
  </si>
  <si>
    <t>Lightspeed as principal</t>
  </si>
  <si>
    <t>school gets</t>
  </si>
  <si>
    <t>Millennials</t>
  </si>
  <si>
    <t>1980-1995</t>
  </si>
  <si>
    <t>1995- mid 2000s</t>
  </si>
  <si>
    <t>Gen Z</t>
  </si>
  <si>
    <t>Gen Alpha</t>
  </si>
  <si>
    <t>2010-</t>
  </si>
  <si>
    <t>active</t>
  </si>
  <si>
    <t>reported</t>
  </si>
  <si>
    <t>NU is monthly active</t>
  </si>
  <si>
    <t>chat gpt</t>
  </si>
  <si>
    <t>Key demo is 30-40 year olds</t>
  </si>
  <si>
    <t xml:space="preserve">Declining </t>
  </si>
  <si>
    <t>EV/Gross Profit (after ECLs)</t>
  </si>
  <si>
    <t>Market share</t>
  </si>
  <si>
    <t>US restaurant share</t>
  </si>
  <si>
    <t>Q1 2024</t>
  </si>
  <si>
    <t>Shift 4</t>
  </si>
  <si>
    <t>GPV, GTV is 23.6</t>
  </si>
  <si>
    <t>Legacy 1</t>
  </si>
  <si>
    <t>Legacy 2</t>
  </si>
  <si>
    <t>Packages</t>
  </si>
  <si>
    <t>Starter</t>
  </si>
  <si>
    <t>Essentials</t>
  </si>
  <si>
    <t>Custom</t>
  </si>
  <si>
    <t>Platform rate</t>
  </si>
  <si>
    <t>Card present rate</t>
  </si>
  <si>
    <t>Card not present rate</t>
  </si>
  <si>
    <t xml:space="preserve">Free </t>
  </si>
  <si>
    <t xml:space="preserve">Plus </t>
  </si>
  <si>
    <t>2.6% + 10 cents</t>
  </si>
  <si>
    <t>2.9% + 30 cents</t>
  </si>
  <si>
    <t>2.49-3.69% subject plan</t>
  </si>
  <si>
    <t xml:space="preserve"> of which food and beverage as %</t>
  </si>
  <si>
    <t>Food and beverage</t>
  </si>
  <si>
    <t>Square GPV split</t>
  </si>
  <si>
    <t>Retail</t>
  </si>
  <si>
    <t>Professional services</t>
  </si>
  <si>
    <t>Beauty</t>
  </si>
  <si>
    <t>Health / fitness</t>
  </si>
  <si>
    <t>Home &amp; repair</t>
  </si>
  <si>
    <t>Square food and beverage</t>
  </si>
  <si>
    <t>Shift 4 end to end</t>
  </si>
  <si>
    <t>Shift 4 restaurants</t>
  </si>
  <si>
    <t>Other Square</t>
  </si>
  <si>
    <t>RLTC / Gross Profit</t>
  </si>
  <si>
    <t>RLTC pre-provision</t>
  </si>
  <si>
    <t>Gross profit margin (after losses)</t>
  </si>
  <si>
    <t>H1 23</t>
  </si>
  <si>
    <t>H2 23</t>
  </si>
  <si>
    <t>Share comp</t>
  </si>
  <si>
    <t>Restr / other</t>
  </si>
  <si>
    <t>Adj Operating income</t>
  </si>
  <si>
    <t>Operating income (rep)</t>
  </si>
  <si>
    <t>Adj op income (NSR)</t>
  </si>
  <si>
    <t>Adj operating profit margin</t>
  </si>
  <si>
    <t>Stock-based comp (employees + CEO)</t>
  </si>
  <si>
    <t>Enterprise warrant  / share based expense (Amazon, Shopify)</t>
  </si>
  <si>
    <t>Card GMV</t>
  </si>
  <si>
    <t>Germany</t>
  </si>
  <si>
    <t>UK</t>
  </si>
  <si>
    <t>Sweden</t>
  </si>
  <si>
    <t>GMV USD/SEK adj</t>
  </si>
  <si>
    <t>GMV from US</t>
  </si>
  <si>
    <t>Tech and data</t>
  </si>
  <si>
    <t>H2 24</t>
  </si>
  <si>
    <t>FY 24</t>
  </si>
  <si>
    <t>2025 GP</t>
  </si>
  <si>
    <t>Target multiple to 2025 GP</t>
  </si>
  <si>
    <t>D2C</t>
  </si>
  <si>
    <t>Marketplace</t>
  </si>
  <si>
    <t>FY-2022</t>
  </si>
  <si>
    <t>FY-2028</t>
  </si>
  <si>
    <t>FY-2029</t>
  </si>
  <si>
    <t>FY-2030</t>
  </si>
  <si>
    <t xml:space="preserve">GMV </t>
  </si>
  <si>
    <t>22-28e CAGR</t>
  </si>
  <si>
    <t>As % Cash App</t>
  </si>
  <si>
    <t>As % Group</t>
  </si>
  <si>
    <t>PPP adjs</t>
  </si>
  <si>
    <t>Reference gross profit</t>
  </si>
  <si>
    <t>Gross profit ex BNPL</t>
  </si>
  <si>
    <t>Integrated Payments/software / banking</t>
  </si>
  <si>
    <t>TIDAL / other</t>
  </si>
  <si>
    <t>2024 revenue</t>
  </si>
  <si>
    <t>Current</t>
  </si>
  <si>
    <t>% growth (Q2 24)</t>
  </si>
  <si>
    <t>Block</t>
  </si>
  <si>
    <t>2024 Active subs</t>
  </si>
  <si>
    <t>2024 Gross profit</t>
  </si>
  <si>
    <t>$ m</t>
  </si>
  <si>
    <t>Price, $</t>
  </si>
  <si>
    <t>SHOUT, millions</t>
  </si>
  <si>
    <t>Cumulative dividend</t>
  </si>
  <si>
    <t xml:space="preserve">Operating income </t>
  </si>
  <si>
    <t>DPS</t>
  </si>
  <si>
    <t>Operating income (adj)</t>
  </si>
  <si>
    <t>adjs</t>
  </si>
  <si>
    <t xml:space="preserve"> of which stock comp</t>
  </si>
  <si>
    <t xml:space="preserve"> of which other</t>
  </si>
  <si>
    <t>Adj net income after stock (NSR)</t>
  </si>
  <si>
    <t>EPS (rep)</t>
  </si>
  <si>
    <t>EPS (NSR)</t>
  </si>
  <si>
    <t>Adjusted net income (SQ def)</t>
  </si>
  <si>
    <t>24e-27e CAGR</t>
  </si>
  <si>
    <t>Net income (reported)</t>
  </si>
  <si>
    <t>EPS (adj, SQ def)</t>
  </si>
  <si>
    <t>Cash App KPIs</t>
  </si>
  <si>
    <t>Square KPIs</t>
  </si>
  <si>
    <t xml:space="preserve">EV/Revenue </t>
  </si>
  <si>
    <t xml:space="preserve">EV/Gross Profit </t>
  </si>
  <si>
    <t>EV/Revenue</t>
  </si>
  <si>
    <t>EV/adj operating income</t>
  </si>
  <si>
    <t>P/E (GAAP rep)</t>
  </si>
  <si>
    <t>P/E (non GAAP rep)</t>
  </si>
  <si>
    <t>P/E (NSR adj)</t>
  </si>
  <si>
    <t>Cash App Borrow originations</t>
  </si>
  <si>
    <t>Cash App Pay TPV, $ bn</t>
  </si>
  <si>
    <t>Cash App Card actives, m</t>
  </si>
  <si>
    <t>Inflows , $ billion / annum</t>
  </si>
  <si>
    <t>Cash App actives m</t>
  </si>
  <si>
    <t>GPV, $ bn</t>
  </si>
  <si>
    <t>Financial metrics, $ million</t>
  </si>
  <si>
    <t>Financials split, $ million</t>
  </si>
  <si>
    <t>% margin to gross profit</t>
  </si>
  <si>
    <t>* Adj operating income margin (to GP) plus Gross profit growth</t>
  </si>
  <si>
    <t>RULE OF 40 *</t>
  </si>
  <si>
    <t>Deposit balance, $ bn</t>
  </si>
  <si>
    <t>Average price</t>
  </si>
  <si>
    <t>na</t>
  </si>
  <si>
    <t>adjs to net income</t>
  </si>
  <si>
    <t xml:space="preserve">% margin </t>
  </si>
  <si>
    <t>Volume through Cash App</t>
  </si>
  <si>
    <t>DCF</t>
  </si>
  <si>
    <t>Metric</t>
  </si>
  <si>
    <t>Q3 2024</t>
  </si>
  <si>
    <t xml:space="preserve"> Gross profit</t>
  </si>
  <si>
    <t>New Street</t>
  </si>
  <si>
    <t xml:space="preserve"> Adj operating income</t>
  </si>
  <si>
    <t>By 2026</t>
  </si>
  <si>
    <t>&gt;40%</t>
  </si>
  <si>
    <t>H2 to moderate GP growth on Q2 (23%)</t>
  </si>
  <si>
    <t>Similar GP growth to Q2 (15%)</t>
  </si>
  <si>
    <t>Fair value per share, $</t>
  </si>
  <si>
    <t>Price , $</t>
  </si>
  <si>
    <t>Implied 2024 EBIT</t>
  </si>
  <si>
    <t>Cash App cards</t>
  </si>
  <si>
    <t>as % actives</t>
  </si>
  <si>
    <t>EV, local</t>
  </si>
  <si>
    <t>EV, $</t>
  </si>
  <si>
    <t>EV/sub</t>
  </si>
  <si>
    <t>GP/sub</t>
  </si>
  <si>
    <t>GP, $</t>
  </si>
  <si>
    <t>GP, local</t>
  </si>
  <si>
    <t>Sofi</t>
  </si>
  <si>
    <t>Kaspi</t>
  </si>
  <si>
    <t>WISE</t>
  </si>
  <si>
    <t>EV/GP</t>
  </si>
  <si>
    <t>Cash from operating activities</t>
  </si>
  <si>
    <t xml:space="preserve">          Net income (loss) attributable to common stockholders (GAAP)</t>
  </si>
  <si>
    <t>Net income before mins</t>
  </si>
  <si>
    <t>Share based compensation</t>
  </si>
  <si>
    <t>Amortisation of intangibles</t>
  </si>
  <si>
    <t>Amortisation of discounts/premiums</t>
  </si>
  <si>
    <t>Lease expense</t>
  </si>
  <si>
    <t>Share-based compensation</t>
  </si>
  <si>
    <t>Bitcoin rebase</t>
  </si>
  <si>
    <t>Loan / transaction losses</t>
  </si>
  <si>
    <t>Goodwill impairment</t>
  </si>
  <si>
    <t>Change in deferred taxes</t>
  </si>
  <si>
    <t>Working capital</t>
  </si>
  <si>
    <t>Settlments receivable</t>
  </si>
  <si>
    <t>Purchases, loans orginations</t>
  </si>
  <si>
    <t>Payment, loan forgiveness</t>
  </si>
  <si>
    <t>Customers payable</t>
  </si>
  <si>
    <t>Settlements payable</t>
  </si>
  <si>
    <t>Loss / gain on equity</t>
  </si>
  <si>
    <t>Adj EBITDA</t>
  </si>
  <si>
    <t>Capex</t>
  </si>
  <si>
    <t>diff to adj net income</t>
  </si>
  <si>
    <t>FCF yield</t>
  </si>
  <si>
    <t>as % equity</t>
  </si>
  <si>
    <t>Volumes acquired</t>
  </si>
  <si>
    <t xml:space="preserve">Stock price </t>
  </si>
  <si>
    <t>Change in diluted</t>
  </si>
  <si>
    <t>Payments for originations of consumer receivables</t>
  </si>
  <si>
    <t>Repayment and sales of consumer receivables</t>
  </si>
  <si>
    <t>Sales, principal payments, PPP forgiveness</t>
  </si>
  <si>
    <t>Adjusted FCF</t>
  </si>
  <si>
    <t xml:space="preserve"> of which settlement receivable, payable, customers payable</t>
  </si>
  <si>
    <t>Total other</t>
  </si>
  <si>
    <t>from historics</t>
  </si>
  <si>
    <t>Adj FCF (SQ definition)</t>
  </si>
  <si>
    <t>FCF, $</t>
  </si>
  <si>
    <t>Block FCF</t>
  </si>
  <si>
    <t>PayPal FCF</t>
  </si>
  <si>
    <t>Block yield</t>
  </si>
  <si>
    <t>PayPal yield</t>
  </si>
  <si>
    <t>Share repurchases</t>
  </si>
  <si>
    <t>Gross profit from bitstream as % Group</t>
  </si>
  <si>
    <t>$ volume</t>
  </si>
  <si>
    <t>Remaining authorisation</t>
  </si>
  <si>
    <t>Added</t>
  </si>
  <si>
    <t>Clover GPV</t>
  </si>
  <si>
    <t>Sq as % Clover</t>
  </si>
  <si>
    <t>stock comp</t>
  </si>
  <si>
    <t>FCF after stock</t>
  </si>
  <si>
    <t>NPV</t>
  </si>
  <si>
    <t>TV</t>
  </si>
  <si>
    <t>PV TV</t>
  </si>
  <si>
    <t>Target price</t>
  </si>
  <si>
    <t xml:space="preserve">WACC </t>
  </si>
  <si>
    <t>g</t>
  </si>
  <si>
    <t>Implied</t>
  </si>
  <si>
    <t>Buy buy back as % FCF</t>
  </si>
  <si>
    <t>BNPL (Afterpay)</t>
  </si>
  <si>
    <t>Benchmark Spotify</t>
  </si>
  <si>
    <t>Bitcoin held for own inv.</t>
  </si>
  <si>
    <t>No of bitcoins</t>
  </si>
  <si>
    <t>Market price</t>
  </si>
  <si>
    <t>Per sub</t>
  </si>
  <si>
    <t>Ownership</t>
  </si>
  <si>
    <t>A</t>
  </si>
  <si>
    <t>B</t>
  </si>
  <si>
    <t>Jack Dorsey</t>
  </si>
  <si>
    <t>Econ</t>
  </si>
  <si>
    <t>Voting</t>
  </si>
  <si>
    <t>Revolut @ $45 bn</t>
  </si>
  <si>
    <t>Consensus</t>
  </si>
  <si>
    <t>Soomit Datta</t>
  </si>
  <si>
    <t>New Street Research</t>
  </si>
  <si>
    <t xml:space="preserve">+44 20 7375 9128 </t>
  </si>
  <si>
    <t>soomit@newstreetresearch.com</t>
  </si>
  <si>
    <t>Ticker</t>
  </si>
  <si>
    <t>Rating</t>
  </si>
  <si>
    <t>Target Price</t>
  </si>
  <si>
    <t>Block (SQ)</t>
  </si>
  <si>
    <t>SQ</t>
  </si>
  <si>
    <t>Neutral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</si>
</sst>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43" formatCode="_-* #,##0.00_-;\-* #,##0.00_-;_-* &quot;-&quot;??_-;_-@_-"/>
    <numFmt numFmtId="164" formatCode="m/d/yyyy"/>
    <numFmt numFmtId="165" formatCode="_(&quot;$&quot;* #,##0_);_(&quot;$&quot;* \(#,##0\);_(&quot;$&quot;* &quot;-&quot;??_);_(@_)"/>
    <numFmt numFmtId="166" formatCode="#,##0;\(#,##0\)"/>
    <numFmt numFmtId="167" formatCode="&quot;$&quot;#,##0"/>
    <numFmt numFmtId="168" formatCode="0%_);\(0%\);0%_);&quot;--&quot;_)"/>
    <numFmt numFmtId="169" formatCode="#,##0;\ \(#,##0\)"/>
    <numFmt numFmtId="170" formatCode="0.0%"/>
    <numFmt numFmtId="171" formatCode="_(&quot;$&quot;* #,##0.000000000000_);_(&quot;$&quot;* \(#,##0.000000000000\);_(&quot;$&quot;* &quot;-&quot;??.000000000000_);_(@_)"/>
    <numFmt numFmtId="172" formatCode="&quot;$&quot;#,##0.00"/>
    <numFmt numFmtId="173" formatCode="#,##0_);\(#,##0\);#,##0_);&quot;--&quot;_)"/>
    <numFmt numFmtId="174" formatCode="_(&quot;$&quot;* #,##0.00_);_(&quot;$&quot;* \(#,##0.00\);_(&quot;$&quot;* &quot;-&quot;??_);_(@_)"/>
    <numFmt numFmtId="175" formatCode="_(&quot;$&quot;* #,##0.00_);_(&quot;$&quot;* \(#,##0.00\);_(&quot;$&quot;* &quot;-&quot;??.00_);_(@_)"/>
    <numFmt numFmtId="176" formatCode="0.0\x"/>
    <numFmt numFmtId="177" formatCode="0.0%_);\(0.0%\);0.0%_);&quot;--&quot;_)"/>
    <numFmt numFmtId="178" formatCode="_(&quot;$&quot;* #,##0.0_);_(&quot;$&quot;* \(#,##0.0\);_(&quot;$&quot;* &quot;-&quot;??_);_(@_)"/>
    <numFmt numFmtId="179" formatCode="0.0"/>
    <numFmt numFmtId="180" formatCode="_(* #,##0_);_(* \(#,##0\);_(* &quot;-&quot;??_);_(@_)"/>
    <numFmt numFmtId="181" formatCode="0.00%_);\(0.00%\);0.00%_);&quot;--&quot;_)"/>
    <numFmt numFmtId="182" formatCode="#,##0.0_);\(#,##0.0\);#,##0.0_);&quot;--&quot;_)"/>
    <numFmt numFmtId="183" formatCode="#,##0.0"/>
    <numFmt numFmtId="184" formatCode="#,##0;[Red]\(#,##0\)"/>
    <numFmt numFmtId="185" formatCode="_-* #,##0.0_-;\-* #,##0.0_-;_-* &quot;-&quot;??_-;_-@_-"/>
    <numFmt numFmtId="186" formatCode="0.000%"/>
    <numFmt numFmtId="187" formatCode="#,##0_);\(#,##0\);#,##0_);@_)"/>
    <numFmt numFmtId="188" formatCode="_(* #,##0.00_);_(* \(#,##0.00\);_(* &quot;-&quot;??_);_(@_)"/>
    <numFmt numFmtId="189" formatCode="&quot;USD&quot;\ 0.0"/>
  </numFmts>
  <fonts count="62" x14ac:knownFonts="1">
    <font>
      <sz val="11"/>
      <color theme="1"/>
      <name val="Aptos Narrow"/>
      <family val="2"/>
      <scheme val="minor"/>
    </font>
    <font>
      <b/>
      <sz val="11"/>
      <color theme="1"/>
      <name val="Aptos Narrow"/>
      <family val="2"/>
      <scheme val="minor"/>
    </font>
    <font>
      <sz val="10"/>
      <color rgb="FF000000"/>
      <name val="Aptos Narrow"/>
      <family val="2"/>
      <scheme val="minor"/>
    </font>
    <font>
      <b/>
      <sz val="10"/>
      <color theme="1"/>
      <name val="Aptos Narrow"/>
      <family val="2"/>
      <scheme val="minor"/>
    </font>
    <font>
      <sz val="10"/>
      <color theme="1"/>
      <name val="Aptos Narrow"/>
      <family val="2"/>
      <scheme val="minor"/>
    </font>
    <font>
      <i/>
      <sz val="10"/>
      <color theme="1"/>
      <name val="Aptos Narrow"/>
      <family val="2"/>
      <scheme val="minor"/>
    </font>
    <font>
      <sz val="10"/>
      <name val="Arial"/>
      <family val="2"/>
    </font>
    <font>
      <sz val="10"/>
      <color rgb="FF0000FF"/>
      <name val="Aptos Narrow"/>
      <family val="2"/>
      <scheme val="minor"/>
    </font>
    <font>
      <b/>
      <i/>
      <sz val="10"/>
      <color theme="1"/>
      <name val="Aptos Narrow"/>
      <family val="2"/>
      <scheme val="minor"/>
    </font>
    <font>
      <sz val="10"/>
      <color theme="1"/>
      <name val="Arial"/>
      <family val="2"/>
    </font>
    <font>
      <b/>
      <sz val="10"/>
      <color theme="1"/>
      <name val="Arial"/>
      <family val="2"/>
    </font>
    <font>
      <b/>
      <sz val="10"/>
      <color rgb="FF0000FF"/>
      <name val="Aptos Narrow"/>
      <family val="2"/>
      <scheme val="minor"/>
    </font>
    <font>
      <sz val="10"/>
      <color rgb="FFFF0000"/>
      <name val="Aptos Narrow"/>
      <family val="2"/>
      <scheme val="minor"/>
    </font>
    <font>
      <i/>
      <sz val="10"/>
      <color rgb="FF0000FF"/>
      <name val="Aptos Narrow"/>
      <family val="2"/>
      <scheme val="minor"/>
    </font>
    <font>
      <i/>
      <sz val="10"/>
      <color rgb="FF000000"/>
      <name val="Aptos Narrow"/>
      <family val="2"/>
      <scheme val="minor"/>
    </font>
    <font>
      <sz val="7"/>
      <color theme="1"/>
      <name val="Aptos Narrow"/>
      <family val="2"/>
      <scheme val="minor"/>
    </font>
    <font>
      <sz val="7"/>
      <color rgb="FF000000"/>
      <name val="Arial"/>
      <family val="2"/>
    </font>
    <font>
      <sz val="11"/>
      <color theme="1"/>
      <name val="Roboto"/>
    </font>
    <font>
      <b/>
      <sz val="11"/>
      <color theme="1"/>
      <name val="Roboto"/>
    </font>
    <font>
      <b/>
      <sz val="10"/>
      <color rgb="FF000000"/>
      <name val="Aptos Narrow"/>
      <family val="2"/>
      <scheme val="minor"/>
    </font>
    <font>
      <sz val="7"/>
      <color rgb="FF000000"/>
      <name val="Aptos Narrow"/>
      <family val="2"/>
      <scheme val="minor"/>
    </font>
    <font>
      <b/>
      <sz val="11"/>
      <color rgb="FF00B0F0"/>
      <name val="Roboto"/>
    </font>
    <font>
      <sz val="11"/>
      <color rgb="FF00B0F0"/>
      <name val="Roboto"/>
    </font>
    <font>
      <i/>
      <sz val="11"/>
      <color theme="1"/>
      <name val="Aptos Narrow"/>
      <family val="2"/>
      <scheme val="minor"/>
    </font>
    <font>
      <sz val="11"/>
      <color theme="3" tint="0.499984740745262"/>
      <name val="Aptos Narrow"/>
      <family val="2"/>
      <scheme val="minor"/>
    </font>
    <font>
      <b/>
      <u/>
      <sz val="11"/>
      <color theme="1"/>
      <name val="Aptos Narrow"/>
      <family val="2"/>
      <scheme val="minor"/>
    </font>
    <font>
      <b/>
      <sz val="11"/>
      <color theme="3" tint="0.499984740745262"/>
      <name val="Aptos Narrow"/>
      <family val="2"/>
      <scheme val="minor"/>
    </font>
    <font>
      <u/>
      <sz val="11"/>
      <color theme="1"/>
      <name val="Aptos Narrow"/>
      <family val="2"/>
      <scheme val="minor"/>
    </font>
    <font>
      <sz val="11"/>
      <color theme="3" tint="0.499984740745262"/>
      <name val="Roboto"/>
    </font>
    <font>
      <sz val="11"/>
      <color rgb="FF00B0F0"/>
      <name val="Aptos Narrow"/>
      <family val="2"/>
      <scheme val="minor"/>
    </font>
    <font>
      <sz val="11"/>
      <color theme="1"/>
      <name val="Aptos Narrow"/>
      <family val="2"/>
      <scheme val="minor"/>
    </font>
    <font>
      <i/>
      <sz val="11"/>
      <color theme="1"/>
      <name val="Roboto"/>
    </font>
    <font>
      <sz val="9"/>
      <color indexed="81"/>
      <name val="Tahoma"/>
      <family val="2"/>
    </font>
    <font>
      <b/>
      <sz val="9"/>
      <color indexed="81"/>
      <name val="Tahoma"/>
      <family val="2"/>
    </font>
    <font>
      <sz val="10"/>
      <name val="Trebuchet MS"/>
      <family val="2"/>
    </font>
    <font>
      <sz val="10"/>
      <name val="Verdana"/>
      <family val="2"/>
    </font>
    <font>
      <u/>
      <sz val="10"/>
      <color indexed="12"/>
      <name val="Arial"/>
      <family val="2"/>
    </font>
    <font>
      <sz val="9"/>
      <color theme="1"/>
      <name val="Calibri"/>
      <family val="2"/>
    </font>
    <font>
      <sz val="11"/>
      <name val="Roboto"/>
    </font>
    <font>
      <b/>
      <sz val="11"/>
      <name val="Roboto"/>
    </font>
    <font>
      <b/>
      <i/>
      <sz val="11"/>
      <color theme="1"/>
      <name val="Roboto"/>
    </font>
    <font>
      <b/>
      <sz val="11"/>
      <color theme="3" tint="0.499984740745262"/>
      <name val="Roboto"/>
    </font>
    <font>
      <u/>
      <sz val="11"/>
      <color theme="1"/>
      <name val="Roboto"/>
    </font>
    <font>
      <sz val="11"/>
      <color rgb="FFFF0000"/>
      <name val="Aptos Narrow"/>
      <family val="2"/>
      <scheme val="minor"/>
    </font>
    <font>
      <b/>
      <u/>
      <sz val="11"/>
      <color theme="1"/>
      <name val="Roboto"/>
    </font>
    <font>
      <sz val="11"/>
      <color rgb="FFFF0000"/>
      <name val="Roboto"/>
    </font>
    <font>
      <b/>
      <sz val="10"/>
      <color theme="1"/>
      <name val="Roboto"/>
    </font>
    <font>
      <sz val="10"/>
      <color theme="1"/>
      <name val="Roboto"/>
    </font>
    <font>
      <b/>
      <u/>
      <sz val="10"/>
      <color theme="1"/>
      <name val="Roboto"/>
    </font>
    <font>
      <sz val="12"/>
      <color theme="1"/>
      <name val="Aptos Narrow"/>
      <family val="2"/>
      <scheme val="minor"/>
    </font>
    <font>
      <u/>
      <sz val="10"/>
      <color theme="1"/>
      <name val="Roboto"/>
    </font>
    <font>
      <b/>
      <sz val="11"/>
      <color theme="0"/>
      <name val="Roboto"/>
    </font>
    <font>
      <sz val="11"/>
      <color theme="0"/>
      <name val="Roboto"/>
    </font>
    <font>
      <sz val="10"/>
      <color indexed="8"/>
      <name val="Calibri"/>
      <family val="2"/>
    </font>
    <font>
      <sz val="8"/>
      <name val="Calibri"/>
      <family val="2"/>
    </font>
    <font>
      <sz val="18"/>
      <name val="Calibri"/>
      <family val="2"/>
    </font>
    <font>
      <sz val="9"/>
      <name val="Calibri"/>
      <family val="2"/>
    </font>
    <font>
      <sz val="10"/>
      <name val="Calibri"/>
      <family val="2"/>
    </font>
    <font>
      <b/>
      <sz val="10"/>
      <name val="Calibri"/>
      <family val="2"/>
    </font>
    <font>
      <i/>
      <sz val="10"/>
      <name val="Calibri"/>
      <family val="2"/>
    </font>
    <font>
      <b/>
      <i/>
      <sz val="9"/>
      <name val="Calibri"/>
      <family val="2"/>
    </font>
    <font>
      <sz val="9"/>
      <color theme="1"/>
      <name val="Aptos Narrow"/>
      <family val="2"/>
      <scheme val="minor"/>
    </font>
  </fonts>
  <fills count="12">
    <fill>
      <patternFill patternType="none"/>
    </fill>
    <fill>
      <patternFill patternType="gray125"/>
    </fill>
    <fill>
      <patternFill patternType="solid">
        <fgColor rgb="FFD9D9D9"/>
        <bgColor rgb="FFD9D9D9"/>
      </patternFill>
    </fill>
    <fill>
      <patternFill patternType="solid">
        <fgColor rgb="FFFFFFFF"/>
        <bgColor rgb="FFFFFFFF"/>
      </patternFill>
    </fill>
    <fill>
      <patternFill patternType="solid">
        <fgColor rgb="FFFFFF00"/>
        <bgColor indexed="64"/>
      </patternFill>
    </fill>
    <fill>
      <patternFill patternType="solid">
        <fgColor theme="9" tint="0.79998168889431442"/>
        <bgColor indexed="64"/>
      </patternFill>
    </fill>
    <fill>
      <patternFill patternType="solid">
        <fgColor indexed="13"/>
        <bgColor indexed="64"/>
      </patternFill>
    </fill>
    <fill>
      <patternFill patternType="solid">
        <fgColor theme="7" tint="0.59999389629810485"/>
        <bgColor indexed="64"/>
      </patternFill>
    </fill>
    <fill>
      <patternFill patternType="solid">
        <fgColor theme="9" tint="0.79998168889431442"/>
        <bgColor theme="0" tint="-0.14999847407452621"/>
      </patternFill>
    </fill>
    <fill>
      <patternFill patternType="solid">
        <fgColor rgb="FF00B0F0"/>
        <bgColor indexed="64"/>
      </patternFill>
    </fill>
    <fill>
      <patternFill patternType="solid">
        <fgColor indexed="65"/>
        <bgColor indexed="64"/>
      </patternFill>
    </fill>
    <fill>
      <patternFill patternType="solid">
        <fgColor theme="0"/>
        <bgColor indexed="64"/>
      </patternFill>
    </fill>
  </fills>
  <borders count="11">
    <border>
      <left/>
      <right/>
      <top/>
      <bottom/>
      <diagonal/>
    </border>
    <border>
      <left/>
      <right/>
      <top/>
      <bottom style="thin">
        <color rgb="FF000000"/>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theme="1"/>
      </top>
      <bottom style="thin">
        <color indexed="64"/>
      </bottom>
      <diagonal/>
    </border>
    <border>
      <left/>
      <right/>
      <top style="thin">
        <color indexed="64"/>
      </top>
      <bottom/>
      <diagonal/>
    </border>
    <border>
      <left/>
      <right/>
      <top/>
      <bottom style="medium">
        <color indexed="64"/>
      </bottom>
      <diagonal/>
    </border>
  </borders>
  <cellStyleXfs count="41">
    <xf numFmtId="0" fontId="0" fillId="0" borderId="0"/>
    <xf numFmtId="0" fontId="2" fillId="0" borderId="0"/>
    <xf numFmtId="43" fontId="30" fillId="0" borderId="0" applyFont="0" applyFill="0" applyBorder="0" applyAlignment="0" applyProtection="0"/>
    <xf numFmtId="0" fontId="34" fillId="0" borderId="0"/>
    <xf numFmtId="0" fontId="34" fillId="0" borderId="0"/>
    <xf numFmtId="0" fontId="35" fillId="0" borderId="0"/>
    <xf numFmtId="0" fontId="35" fillId="0" borderId="0"/>
    <xf numFmtId="0" fontId="35" fillId="0" borderId="0"/>
    <xf numFmtId="0" fontId="6" fillId="0" borderId="0"/>
    <xf numFmtId="0" fontId="35" fillId="0" borderId="0"/>
    <xf numFmtId="43" fontId="35" fillId="0" borderId="0" applyFont="0" applyFill="0" applyBorder="0" applyAlignment="0" applyProtection="0"/>
    <xf numFmtId="174" fontId="35" fillId="0" borderId="0" applyFont="0" applyFill="0" applyBorder="0" applyAlignment="0" applyProtection="0"/>
    <xf numFmtId="0" fontId="36" fillId="0" borderId="0" applyNumberFormat="0" applyFill="0" applyBorder="0" applyAlignment="0" applyProtection="0">
      <alignment vertical="top"/>
      <protection locked="0"/>
    </xf>
    <xf numFmtId="43" fontId="35" fillId="0" borderId="0" applyFont="0" applyFill="0" applyBorder="0" applyAlignment="0" applyProtection="0"/>
    <xf numFmtId="0" fontId="30" fillId="0" borderId="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0" fontId="6" fillId="0" borderId="0"/>
    <xf numFmtId="0" fontId="37" fillId="0" borderId="0"/>
    <xf numFmtId="43" fontId="37" fillId="0" borderId="0" applyFont="0" applyFill="0" applyBorder="0" applyAlignment="0" applyProtection="0"/>
    <xf numFmtId="0" fontId="2" fillId="0" borderId="0"/>
    <xf numFmtId="0" fontId="30" fillId="0" borderId="0"/>
    <xf numFmtId="43" fontId="30" fillId="0" borderId="0" applyFont="0" applyFill="0" applyBorder="0" applyAlignment="0" applyProtection="0"/>
    <xf numFmtId="9" fontId="3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0" fillId="0" borderId="0" applyFont="0" applyFill="0" applyBorder="0" applyAlignment="0" applyProtection="0"/>
    <xf numFmtId="0" fontId="6" fillId="0" borderId="0"/>
    <xf numFmtId="9" fontId="49" fillId="0" borderId="0" applyFont="0" applyFill="0" applyBorder="0" applyAlignment="0" applyProtection="0"/>
    <xf numFmtId="0" fontId="37" fillId="0" borderId="0"/>
    <xf numFmtId="188" fontId="37" fillId="0" borderId="0" applyFont="0" applyFill="0" applyBorder="0" applyAlignment="0" applyProtection="0"/>
  </cellStyleXfs>
  <cellXfs count="394">
    <xf numFmtId="0" fontId="0" fillId="0" borderId="0" xfId="0"/>
    <xf numFmtId="0" fontId="3" fillId="0" borderId="0" xfId="1" applyFont="1" applyAlignment="1">
      <alignment horizontal="center"/>
    </xf>
    <xf numFmtId="0" fontId="4" fillId="0" borderId="0" xfId="1" applyFont="1"/>
    <xf numFmtId="0" fontId="2" fillId="0" borderId="0" xfId="1"/>
    <xf numFmtId="0" fontId="5" fillId="0" borderId="0" xfId="1" applyFont="1" applyAlignment="1">
      <alignment horizontal="center"/>
    </xf>
    <xf numFmtId="0" fontId="3" fillId="0" borderId="1" xfId="1" applyFont="1" applyBorder="1" applyAlignment="1">
      <alignment horizontal="center"/>
    </xf>
    <xf numFmtId="0" fontId="3" fillId="0" borderId="1" xfId="1" applyFont="1" applyBorder="1" applyAlignment="1">
      <alignment horizontal="center" wrapText="1"/>
    </xf>
    <xf numFmtId="0" fontId="3" fillId="0" borderId="0" xfId="1" applyFont="1"/>
    <xf numFmtId="164" fontId="2" fillId="0" borderId="0" xfId="1" applyNumberFormat="1" applyAlignment="1">
      <alignment horizontal="center" wrapText="1"/>
    </xf>
    <xf numFmtId="14" fontId="4" fillId="0" borderId="0" xfId="1" applyNumberFormat="1" applyFont="1" applyAlignment="1">
      <alignment horizontal="center" wrapText="1"/>
    </xf>
    <xf numFmtId="164" fontId="4" fillId="0" borderId="0" xfId="1" applyNumberFormat="1" applyFont="1" applyAlignment="1">
      <alignment horizontal="center"/>
    </xf>
    <xf numFmtId="0" fontId="3" fillId="0" borderId="0" xfId="1" applyFont="1" applyAlignment="1">
      <alignment horizontal="center" wrapText="1"/>
    </xf>
    <xf numFmtId="165" fontId="4" fillId="0" borderId="0" xfId="1" applyNumberFormat="1" applyFont="1"/>
    <xf numFmtId="0" fontId="4" fillId="2" borderId="0" xfId="1" applyFont="1" applyFill="1"/>
    <xf numFmtId="3" fontId="7" fillId="2" borderId="0" xfId="1" applyNumberFormat="1" applyFont="1" applyFill="1"/>
    <xf numFmtId="3" fontId="4" fillId="2" borderId="0" xfId="1" applyNumberFormat="1" applyFont="1" applyFill="1"/>
    <xf numFmtId="3" fontId="7" fillId="0" borderId="0" xfId="1" applyNumberFormat="1" applyFont="1"/>
    <xf numFmtId="3" fontId="4" fillId="0" borderId="0" xfId="1" applyNumberFormat="1" applyFont="1"/>
    <xf numFmtId="166" fontId="4" fillId="0" borderId="0" xfId="1" applyNumberFormat="1" applyFont="1"/>
    <xf numFmtId="166" fontId="4" fillId="2" borderId="0" xfId="1" applyNumberFormat="1" applyFont="1" applyFill="1"/>
    <xf numFmtId="165" fontId="3" fillId="0" borderId="0" xfId="1" applyNumberFormat="1" applyFont="1"/>
    <xf numFmtId="165" fontId="3" fillId="2" borderId="0" xfId="1" applyNumberFormat="1" applyFont="1" applyFill="1"/>
    <xf numFmtId="165" fontId="7" fillId="2" borderId="0" xfId="1" applyNumberFormat="1" applyFont="1" applyFill="1"/>
    <xf numFmtId="0" fontId="3" fillId="2" borderId="0" xfId="1" applyFont="1" applyFill="1"/>
    <xf numFmtId="166" fontId="7" fillId="2" borderId="0" xfId="1" applyNumberFormat="1" applyFont="1" applyFill="1"/>
    <xf numFmtId="10" fontId="3" fillId="0" borderId="0" xfId="1" applyNumberFormat="1" applyFont="1"/>
    <xf numFmtId="10" fontId="4" fillId="0" borderId="0" xfId="1" applyNumberFormat="1" applyFont="1"/>
    <xf numFmtId="167" fontId="4" fillId="0" borderId="0" xfId="1" applyNumberFormat="1" applyFont="1"/>
    <xf numFmtId="0" fontId="7" fillId="0" borderId="0" xfId="1" applyFont="1"/>
    <xf numFmtId="166" fontId="7" fillId="0" borderId="0" xfId="1" applyNumberFormat="1" applyFont="1"/>
    <xf numFmtId="168" fontId="4" fillId="0" borderId="0" xfId="1" applyNumberFormat="1" applyFont="1"/>
    <xf numFmtId="0" fontId="4" fillId="0" borderId="0" xfId="1" applyFont="1" applyAlignment="1">
      <alignment horizontal="left"/>
    </xf>
    <xf numFmtId="166" fontId="2" fillId="0" borderId="0" xfId="1" applyNumberFormat="1"/>
    <xf numFmtId="169" fontId="4" fillId="0" borderId="0" xfId="1" applyNumberFormat="1" applyFont="1"/>
    <xf numFmtId="170" fontId="3" fillId="0" borderId="0" xfId="1" applyNumberFormat="1" applyFont="1"/>
    <xf numFmtId="169" fontId="7" fillId="0" borderId="0" xfId="1" applyNumberFormat="1" applyFont="1"/>
    <xf numFmtId="165" fontId="2" fillId="0" borderId="0" xfId="1" applyNumberFormat="1"/>
    <xf numFmtId="170" fontId="4" fillId="0" borderId="0" xfId="1" applyNumberFormat="1" applyFont="1"/>
    <xf numFmtId="165" fontId="7" fillId="0" borderId="0" xfId="1" applyNumberFormat="1" applyFont="1"/>
    <xf numFmtId="171" fontId="3" fillId="0" borderId="0" xfId="1" applyNumberFormat="1" applyFont="1"/>
    <xf numFmtId="172" fontId="4" fillId="0" borderId="0" xfId="1" applyNumberFormat="1" applyFont="1"/>
    <xf numFmtId="3" fontId="3" fillId="0" borderId="0" xfId="1" applyNumberFormat="1" applyFont="1"/>
    <xf numFmtId="166" fontId="3" fillId="0" borderId="0" xfId="1" applyNumberFormat="1" applyFont="1"/>
    <xf numFmtId="0" fontId="8" fillId="0" borderId="0" xfId="1" applyFont="1"/>
    <xf numFmtId="173" fontId="2" fillId="0" borderId="0" xfId="1" applyNumberFormat="1"/>
    <xf numFmtId="166" fontId="9" fillId="0" borderId="0" xfId="1" applyNumberFormat="1" applyFont="1" applyAlignment="1">
      <alignment horizontal="right"/>
    </xf>
    <xf numFmtId="168" fontId="2" fillId="0" borderId="0" xfId="1" applyNumberFormat="1"/>
    <xf numFmtId="165" fontId="10" fillId="0" borderId="0" xfId="1" applyNumberFormat="1" applyFont="1" applyAlignment="1">
      <alignment horizontal="right"/>
    </xf>
    <xf numFmtId="0" fontId="11" fillId="0" borderId="0" xfId="1" applyFont="1"/>
    <xf numFmtId="0" fontId="4" fillId="3" borderId="0" xfId="1" applyFont="1" applyFill="1"/>
    <xf numFmtId="3" fontId="12" fillId="3" borderId="0" xfId="1" applyNumberFormat="1" applyFont="1" applyFill="1"/>
    <xf numFmtId="168" fontId="12" fillId="3" borderId="0" xfId="1" applyNumberFormat="1" applyFont="1" applyFill="1"/>
    <xf numFmtId="168" fontId="12" fillId="0" borderId="0" xfId="1" applyNumberFormat="1" applyFont="1"/>
    <xf numFmtId="174" fontId="4" fillId="0" borderId="0" xfId="1" applyNumberFormat="1" applyFont="1"/>
    <xf numFmtId="175" fontId="4" fillId="0" borderId="0" xfId="1" applyNumberFormat="1" applyFont="1"/>
    <xf numFmtId="0" fontId="3" fillId="3" borderId="0" xfId="1" applyFont="1" applyFill="1"/>
    <xf numFmtId="0" fontId="5" fillId="0" borderId="0" xfId="1" applyFont="1"/>
    <xf numFmtId="166" fontId="13" fillId="0" borderId="0" xfId="1" applyNumberFormat="1" applyFont="1"/>
    <xf numFmtId="168" fontId="14" fillId="0" borderId="0" xfId="1" applyNumberFormat="1" applyFont="1"/>
    <xf numFmtId="9" fontId="13" fillId="0" borderId="0" xfId="1" applyNumberFormat="1" applyFont="1"/>
    <xf numFmtId="9" fontId="14" fillId="0" borderId="0" xfId="1" applyNumberFormat="1" applyFont="1"/>
    <xf numFmtId="172" fontId="14" fillId="0" borderId="0" xfId="1" applyNumberFormat="1" applyFont="1"/>
    <xf numFmtId="0" fontId="14" fillId="0" borderId="0" xfId="1" applyFont="1" applyAlignment="1">
      <alignment horizontal="right"/>
    </xf>
    <xf numFmtId="9" fontId="14" fillId="0" borderId="0" xfId="1" applyNumberFormat="1" applyFont="1" applyAlignment="1">
      <alignment horizontal="right"/>
    </xf>
    <xf numFmtId="0" fontId="15" fillId="0" borderId="0" xfId="1" applyFont="1" applyAlignment="1">
      <alignment wrapText="1"/>
    </xf>
    <xf numFmtId="0" fontId="16" fillId="0" borderId="0" xfId="1" applyFont="1" applyAlignment="1">
      <alignment vertical="top" wrapText="1"/>
    </xf>
    <xf numFmtId="0" fontId="17" fillId="0" borderId="0" xfId="0" applyFont="1"/>
    <xf numFmtId="0" fontId="18" fillId="0" borderId="0" xfId="0" applyFont="1"/>
    <xf numFmtId="0" fontId="18" fillId="0" borderId="2" xfId="0" applyFont="1" applyBorder="1"/>
    <xf numFmtId="3" fontId="17" fillId="0" borderId="0" xfId="0" applyNumberFormat="1" applyFont="1"/>
    <xf numFmtId="0" fontId="4" fillId="0" borderId="0" xfId="1" applyFont="1" applyAlignment="1">
      <alignment horizontal="center"/>
    </xf>
    <xf numFmtId="176" fontId="4" fillId="0" borderId="0" xfId="1" applyNumberFormat="1" applyFont="1"/>
    <xf numFmtId="0" fontId="4" fillId="0" borderId="0" xfId="1" applyFont="1" applyAlignment="1">
      <alignment horizontal="right" wrapText="1"/>
    </xf>
    <xf numFmtId="164" fontId="7" fillId="0" borderId="0" xfId="1" applyNumberFormat="1" applyFont="1" applyAlignment="1">
      <alignment horizontal="center" wrapText="1"/>
    </xf>
    <xf numFmtId="165" fontId="19" fillId="0" borderId="0" xfId="1" applyNumberFormat="1" applyFont="1"/>
    <xf numFmtId="177" fontId="4" fillId="0" borderId="0" xfId="1" applyNumberFormat="1" applyFont="1"/>
    <xf numFmtId="10" fontId="7" fillId="0" borderId="0" xfId="1" applyNumberFormat="1" applyFont="1"/>
    <xf numFmtId="168" fontId="14" fillId="0" borderId="0" xfId="1" applyNumberFormat="1" applyFont="1" applyAlignment="1">
      <alignment horizontal="right"/>
    </xf>
    <xf numFmtId="168" fontId="7" fillId="0" borderId="0" xfId="1" applyNumberFormat="1" applyFont="1"/>
    <xf numFmtId="168" fontId="13" fillId="0" borderId="0" xfId="1" applyNumberFormat="1" applyFont="1" applyAlignment="1">
      <alignment horizontal="right"/>
    </xf>
    <xf numFmtId="168" fontId="5" fillId="0" borderId="0" xfId="1" applyNumberFormat="1" applyFont="1" applyAlignment="1">
      <alignment horizontal="right"/>
    </xf>
    <xf numFmtId="9" fontId="7" fillId="0" borderId="0" xfId="1" applyNumberFormat="1" applyFont="1"/>
    <xf numFmtId="9" fontId="4" fillId="0" borderId="0" xfId="1" applyNumberFormat="1" applyFont="1"/>
    <xf numFmtId="0" fontId="16" fillId="0" borderId="0" xfId="1" applyFont="1" applyAlignment="1">
      <alignment horizontal="left" vertical="top" wrapText="1"/>
    </xf>
    <xf numFmtId="4" fontId="17" fillId="0" borderId="0" xfId="0" applyNumberFormat="1" applyFont="1"/>
    <xf numFmtId="178" fontId="3" fillId="0" borderId="0" xfId="1" applyNumberFormat="1" applyFont="1"/>
    <xf numFmtId="3" fontId="18" fillId="0" borderId="0" xfId="0" applyNumberFormat="1" applyFont="1"/>
    <xf numFmtId="0" fontId="17" fillId="0" borderId="2" xfId="0" applyFont="1" applyBorder="1"/>
    <xf numFmtId="3" fontId="17" fillId="0" borderId="2" xfId="0" applyNumberFormat="1" applyFont="1" applyBorder="1"/>
    <xf numFmtId="0" fontId="0" fillId="0" borderId="0" xfId="0" applyAlignment="1">
      <alignment horizontal="right"/>
    </xf>
    <xf numFmtId="0" fontId="0" fillId="0" borderId="2" xfId="0" applyBorder="1"/>
    <xf numFmtId="0" fontId="0" fillId="0" borderId="2" xfId="0" applyBorder="1" applyAlignment="1">
      <alignment horizontal="right"/>
    </xf>
    <xf numFmtId="0" fontId="18" fillId="0" borderId="2" xfId="0" applyFont="1" applyBorder="1" applyAlignment="1">
      <alignment horizontal="right"/>
    </xf>
    <xf numFmtId="164" fontId="4" fillId="0" borderId="0" xfId="1" applyNumberFormat="1" applyFont="1" applyAlignment="1">
      <alignment horizontal="center" wrapText="1"/>
    </xf>
    <xf numFmtId="173" fontId="7" fillId="0" borderId="0" xfId="1" applyNumberFormat="1" applyFont="1"/>
    <xf numFmtId="166" fontId="3" fillId="0" borderId="0" xfId="1" applyNumberFormat="1" applyFont="1" applyAlignment="1">
      <alignment horizontal="center"/>
    </xf>
    <xf numFmtId="172" fontId="4" fillId="0" borderId="0" xfId="1" applyNumberFormat="1" applyFont="1" applyAlignment="1">
      <alignment horizontal="center"/>
    </xf>
    <xf numFmtId="168" fontId="4" fillId="0" borderId="0" xfId="1" applyNumberFormat="1" applyFont="1" applyAlignment="1">
      <alignment horizontal="center"/>
    </xf>
    <xf numFmtId="3" fontId="3" fillId="0" borderId="0" xfId="1" applyNumberFormat="1" applyFont="1" applyAlignment="1">
      <alignment horizontal="center"/>
    </xf>
    <xf numFmtId="172" fontId="3" fillId="0" borderId="0" xfId="1" applyNumberFormat="1" applyFont="1" applyAlignment="1">
      <alignment horizontal="center"/>
    </xf>
    <xf numFmtId="166" fontId="7" fillId="0" borderId="0" xfId="1" applyNumberFormat="1" applyFont="1" applyAlignment="1">
      <alignment horizontal="right"/>
    </xf>
    <xf numFmtId="166" fontId="19" fillId="0" borderId="0" xfId="1" applyNumberFormat="1" applyFont="1"/>
    <xf numFmtId="170" fontId="4" fillId="0" borderId="0" xfId="1" applyNumberFormat="1" applyFont="1" applyAlignment="1">
      <alignment horizontal="center"/>
    </xf>
    <xf numFmtId="170" fontId="5" fillId="0" borderId="0" xfId="1" applyNumberFormat="1" applyFont="1" applyAlignment="1">
      <alignment horizontal="center"/>
    </xf>
    <xf numFmtId="168" fontId="5" fillId="0" borderId="0" xfId="1" applyNumberFormat="1" applyFont="1" applyAlignment="1">
      <alignment horizontal="center"/>
    </xf>
    <xf numFmtId="168" fontId="3" fillId="0" borderId="0" xfId="1" applyNumberFormat="1" applyFont="1" applyAlignment="1">
      <alignment horizontal="center"/>
    </xf>
    <xf numFmtId="2" fontId="0" fillId="0" borderId="0" xfId="0" applyNumberFormat="1"/>
    <xf numFmtId="1" fontId="0" fillId="0" borderId="0" xfId="0" applyNumberFormat="1"/>
    <xf numFmtId="0" fontId="1" fillId="0" borderId="0" xfId="0" applyFont="1"/>
    <xf numFmtId="9" fontId="1" fillId="0" borderId="0" xfId="0" applyNumberFormat="1" applyFont="1"/>
    <xf numFmtId="0" fontId="1" fillId="0" borderId="2" xfId="0" applyFont="1" applyBorder="1"/>
    <xf numFmtId="0" fontId="1" fillId="0" borderId="2" xfId="0" applyFont="1" applyBorder="1" applyAlignment="1">
      <alignment horizontal="right"/>
    </xf>
    <xf numFmtId="170" fontId="0" fillId="0" borderId="0" xfId="0" applyNumberFormat="1"/>
    <xf numFmtId="9" fontId="0" fillId="0" borderId="0" xfId="0" applyNumberFormat="1"/>
    <xf numFmtId="3" fontId="0" fillId="0" borderId="0" xfId="0" applyNumberFormat="1"/>
    <xf numFmtId="179" fontId="0" fillId="0" borderId="0" xfId="0" applyNumberFormat="1"/>
    <xf numFmtId="3" fontId="0" fillId="0" borderId="2" xfId="0" applyNumberFormat="1" applyBorder="1"/>
    <xf numFmtId="170" fontId="0" fillId="0" borderId="2" xfId="0" applyNumberFormat="1" applyBorder="1"/>
    <xf numFmtId="9" fontId="0" fillId="0" borderId="2" xfId="0" applyNumberFormat="1" applyBorder="1"/>
    <xf numFmtId="9" fontId="2" fillId="0" borderId="0" xfId="1" applyNumberFormat="1"/>
    <xf numFmtId="0" fontId="18" fillId="0" borderId="0" xfId="0" applyFont="1" applyAlignment="1">
      <alignment horizontal="right"/>
    </xf>
    <xf numFmtId="168" fontId="5" fillId="0" borderId="0" xfId="1" applyNumberFormat="1" applyFont="1"/>
    <xf numFmtId="9" fontId="5" fillId="0" borderId="0" xfId="1" applyNumberFormat="1" applyFont="1"/>
    <xf numFmtId="168" fontId="13" fillId="0" borderId="0" xfId="1" applyNumberFormat="1" applyFont="1"/>
    <xf numFmtId="165" fontId="4" fillId="2" borderId="0" xfId="1" applyNumberFormat="1" applyFont="1" applyFill="1"/>
    <xf numFmtId="180" fontId="7" fillId="0" borderId="0" xfId="1" applyNumberFormat="1" applyFont="1"/>
    <xf numFmtId="180" fontId="2" fillId="0" borderId="0" xfId="1" applyNumberFormat="1"/>
    <xf numFmtId="167" fontId="7" fillId="0" borderId="0" xfId="1" applyNumberFormat="1" applyFont="1"/>
    <xf numFmtId="9" fontId="13" fillId="0" borderId="0" xfId="1" applyNumberFormat="1" applyFont="1" applyAlignment="1">
      <alignment horizontal="right"/>
    </xf>
    <xf numFmtId="181" fontId="7" fillId="0" borderId="0" xfId="1" applyNumberFormat="1" applyFont="1"/>
    <xf numFmtId="181" fontId="12" fillId="0" borderId="0" xfId="1" applyNumberFormat="1" applyFont="1"/>
    <xf numFmtId="182" fontId="7" fillId="0" borderId="0" xfId="1" applyNumberFormat="1" applyFont="1"/>
    <xf numFmtId="0" fontId="20" fillId="0" borderId="0" xfId="1" applyFont="1" applyAlignment="1">
      <alignment wrapText="1"/>
    </xf>
    <xf numFmtId="179" fontId="17" fillId="0" borderId="0" xfId="0" applyNumberFormat="1" applyFont="1"/>
    <xf numFmtId="9" fontId="17" fillId="0" borderId="0" xfId="0" applyNumberFormat="1" applyFont="1"/>
    <xf numFmtId="10" fontId="17" fillId="0" borderId="0" xfId="0" applyNumberFormat="1" applyFont="1"/>
    <xf numFmtId="0" fontId="21" fillId="0" borderId="0" xfId="0" applyFont="1"/>
    <xf numFmtId="10" fontId="22" fillId="0" borderId="0" xfId="0" applyNumberFormat="1" applyFont="1"/>
    <xf numFmtId="170" fontId="22" fillId="0" borderId="0" xfId="0" applyNumberFormat="1" applyFont="1"/>
    <xf numFmtId="9" fontId="22" fillId="0" borderId="0" xfId="0" applyNumberFormat="1" applyFont="1"/>
    <xf numFmtId="1" fontId="17" fillId="0" borderId="0" xfId="0" applyNumberFormat="1" applyFont="1"/>
    <xf numFmtId="10" fontId="0" fillId="0" borderId="0" xfId="0" applyNumberFormat="1"/>
    <xf numFmtId="0" fontId="23" fillId="0" borderId="0" xfId="0" applyFont="1"/>
    <xf numFmtId="170" fontId="23" fillId="0" borderId="0" xfId="0" applyNumberFormat="1" applyFont="1"/>
    <xf numFmtId="0" fontId="0" fillId="4" borderId="0" xfId="0" applyFill="1"/>
    <xf numFmtId="165" fontId="7" fillId="4" borderId="0" xfId="1" applyNumberFormat="1" applyFont="1" applyFill="1"/>
    <xf numFmtId="181" fontId="7" fillId="4" borderId="0" xfId="1" applyNumberFormat="1" applyFont="1" applyFill="1"/>
    <xf numFmtId="1" fontId="1" fillId="0" borderId="2" xfId="0" applyNumberFormat="1" applyFont="1" applyBorder="1" applyAlignment="1">
      <alignment horizontal="right"/>
    </xf>
    <xf numFmtId="170" fontId="24" fillId="0" borderId="0" xfId="0" applyNumberFormat="1" applyFont="1"/>
    <xf numFmtId="9" fontId="24" fillId="0" borderId="0" xfId="0" applyNumberFormat="1" applyFont="1"/>
    <xf numFmtId="10" fontId="24" fillId="0" borderId="0" xfId="0" applyNumberFormat="1" applyFont="1"/>
    <xf numFmtId="0" fontId="0" fillId="0" borderId="0" xfId="0" applyAlignment="1">
      <alignment horizontal="left"/>
    </xf>
    <xf numFmtId="0" fontId="25" fillId="0" borderId="0" xfId="0" applyFont="1"/>
    <xf numFmtId="0" fontId="1" fillId="0" borderId="0" xfId="0" applyFont="1" applyAlignment="1">
      <alignment horizontal="right"/>
    </xf>
    <xf numFmtId="183" fontId="0" fillId="0" borderId="0" xfId="0" applyNumberFormat="1"/>
    <xf numFmtId="179" fontId="0" fillId="0" borderId="2" xfId="0" applyNumberFormat="1" applyBorder="1"/>
    <xf numFmtId="179" fontId="1" fillId="0" borderId="0" xfId="0" applyNumberFormat="1" applyFont="1"/>
    <xf numFmtId="1" fontId="23" fillId="0" borderId="0" xfId="0" applyNumberFormat="1" applyFont="1" applyAlignment="1">
      <alignment horizontal="right"/>
    </xf>
    <xf numFmtId="179" fontId="26" fillId="0" borderId="0" xfId="0" applyNumberFormat="1" applyFont="1"/>
    <xf numFmtId="1" fontId="1" fillId="0" borderId="0" xfId="0" applyNumberFormat="1" applyFont="1" applyAlignment="1">
      <alignment horizontal="right"/>
    </xf>
    <xf numFmtId="1" fontId="1" fillId="0" borderId="0" xfId="0" applyNumberFormat="1" applyFont="1"/>
    <xf numFmtId="1" fontId="1" fillId="0" borderId="2" xfId="0" applyNumberFormat="1" applyFont="1" applyBorder="1"/>
    <xf numFmtId="183" fontId="0" fillId="4" borderId="0" xfId="0" applyNumberFormat="1" applyFill="1"/>
    <xf numFmtId="0" fontId="0" fillId="0" borderId="0" xfId="0" quotePrefix="1"/>
    <xf numFmtId="0" fontId="27" fillId="0" borderId="0" xfId="0" quotePrefix="1" applyFont="1"/>
    <xf numFmtId="1" fontId="0" fillId="0" borderId="2" xfId="0" applyNumberFormat="1" applyBorder="1"/>
    <xf numFmtId="170" fontId="1" fillId="0" borderId="0" xfId="0" applyNumberFormat="1" applyFont="1"/>
    <xf numFmtId="0" fontId="0" fillId="0" borderId="2" xfId="0" quotePrefix="1" applyBorder="1"/>
    <xf numFmtId="9" fontId="24" fillId="0" borderId="2" xfId="0" applyNumberFormat="1" applyFont="1" applyBorder="1"/>
    <xf numFmtId="2" fontId="0" fillId="0" borderId="2" xfId="0" applyNumberFormat="1" applyBorder="1"/>
    <xf numFmtId="3" fontId="28" fillId="0" borderId="0" xfId="0" applyNumberFormat="1" applyFont="1"/>
    <xf numFmtId="170" fontId="17" fillId="0" borderId="0" xfId="0" applyNumberFormat="1" applyFont="1"/>
    <xf numFmtId="170" fontId="28" fillId="0" borderId="0" xfId="0" applyNumberFormat="1" applyFont="1"/>
    <xf numFmtId="183" fontId="17" fillId="0" borderId="0" xfId="0" applyNumberFormat="1" applyFont="1"/>
    <xf numFmtId="9" fontId="26" fillId="0" borderId="0" xfId="0" applyNumberFormat="1" applyFont="1"/>
    <xf numFmtId="17" fontId="25" fillId="0" borderId="0" xfId="0" applyNumberFormat="1" applyFont="1" applyAlignment="1">
      <alignment horizontal="left"/>
    </xf>
    <xf numFmtId="0" fontId="27" fillId="0" borderId="0" xfId="0" applyFont="1"/>
    <xf numFmtId="0" fontId="22" fillId="0" borderId="0" xfId="0" applyFont="1"/>
    <xf numFmtId="0" fontId="29" fillId="0" borderId="0" xfId="0" applyFont="1"/>
    <xf numFmtId="9" fontId="29" fillId="0" borderId="0" xfId="0" applyNumberFormat="1" applyFont="1"/>
    <xf numFmtId="9" fontId="18" fillId="0" borderId="0" xfId="0" applyNumberFormat="1" applyFont="1"/>
    <xf numFmtId="3" fontId="1" fillId="0" borderId="0" xfId="0" applyNumberFormat="1" applyFont="1"/>
    <xf numFmtId="170" fontId="18" fillId="0" borderId="0" xfId="0" applyNumberFormat="1" applyFont="1"/>
    <xf numFmtId="0" fontId="17" fillId="0" borderId="0" xfId="0" quotePrefix="1" applyFont="1"/>
    <xf numFmtId="0" fontId="17" fillId="0" borderId="0" xfId="0" applyFont="1" applyAlignment="1">
      <alignment horizontal="right"/>
    </xf>
    <xf numFmtId="3" fontId="17" fillId="0" borderId="0" xfId="0" applyNumberFormat="1" applyFont="1" applyAlignment="1">
      <alignment horizontal="right"/>
    </xf>
    <xf numFmtId="0" fontId="31" fillId="0" borderId="0" xfId="0" quotePrefix="1" applyFont="1"/>
    <xf numFmtId="0" fontId="31" fillId="0" borderId="0" xfId="0" applyFont="1"/>
    <xf numFmtId="0" fontId="18" fillId="5" borderId="2" xfId="0" applyFont="1" applyFill="1" applyBorder="1"/>
    <xf numFmtId="0" fontId="18" fillId="5" borderId="2" xfId="0" applyFont="1" applyFill="1" applyBorder="1" applyAlignment="1">
      <alignment horizontal="center"/>
    </xf>
    <xf numFmtId="0" fontId="18" fillId="5" borderId="2" xfId="0" applyFont="1" applyFill="1" applyBorder="1" applyAlignment="1">
      <alignment horizontal="right"/>
    </xf>
    <xf numFmtId="3" fontId="22" fillId="0" borderId="0" xfId="0" applyNumberFormat="1" applyFont="1"/>
    <xf numFmtId="3" fontId="21" fillId="0" borderId="0" xfId="0" applyNumberFormat="1" applyFont="1"/>
    <xf numFmtId="184" fontId="17" fillId="0" borderId="0" xfId="0" applyNumberFormat="1" applyFont="1"/>
    <xf numFmtId="0" fontId="40" fillId="0" borderId="0" xfId="0" applyFont="1"/>
    <xf numFmtId="3" fontId="31" fillId="0" borderId="0" xfId="0" applyNumberFormat="1" applyFont="1"/>
    <xf numFmtId="0" fontId="38" fillId="0" borderId="0" xfId="24" applyFont="1" applyAlignment="1">
      <alignment horizontal="right"/>
    </xf>
    <xf numFmtId="3" fontId="38" fillId="0" borderId="0" xfId="0" applyNumberFormat="1" applyFont="1"/>
    <xf numFmtId="0" fontId="40" fillId="0" borderId="2" xfId="0" applyFont="1" applyBorder="1" applyAlignment="1">
      <alignment horizontal="right"/>
    </xf>
    <xf numFmtId="3" fontId="39" fillId="0" borderId="0" xfId="0" applyNumberFormat="1" applyFont="1"/>
    <xf numFmtId="0" fontId="38" fillId="0" borderId="0" xfId="37" applyFont="1"/>
    <xf numFmtId="170" fontId="38" fillId="6" borderId="0" xfId="21" applyNumberFormat="1" applyFont="1" applyFill="1"/>
    <xf numFmtId="170" fontId="38" fillId="0" borderId="0" xfId="21" applyNumberFormat="1" applyFont="1"/>
    <xf numFmtId="185" fontId="38" fillId="0" borderId="0" xfId="36" applyNumberFormat="1" applyFont="1"/>
    <xf numFmtId="9" fontId="38" fillId="0" borderId="0" xfId="21" applyNumberFormat="1" applyFont="1"/>
    <xf numFmtId="0" fontId="17" fillId="0" borderId="2" xfId="0" applyFont="1" applyBorder="1" applyAlignment="1">
      <alignment horizontal="right"/>
    </xf>
    <xf numFmtId="1" fontId="29" fillId="0" borderId="0" xfId="0" applyNumberFormat="1" applyFont="1"/>
    <xf numFmtId="9" fontId="40" fillId="0" borderId="0" xfId="0" applyNumberFormat="1" applyFont="1"/>
    <xf numFmtId="184" fontId="40" fillId="0" borderId="0" xfId="0" applyNumberFormat="1" applyFont="1"/>
    <xf numFmtId="10" fontId="18" fillId="0" borderId="0" xfId="0" applyNumberFormat="1" applyFont="1"/>
    <xf numFmtId="9" fontId="17" fillId="0" borderId="2" xfId="0" applyNumberFormat="1" applyFont="1" applyBorder="1"/>
    <xf numFmtId="170" fontId="40" fillId="0" borderId="0" xfId="0" applyNumberFormat="1" applyFont="1"/>
    <xf numFmtId="2" fontId="17" fillId="0" borderId="0" xfId="0" applyNumberFormat="1" applyFont="1"/>
    <xf numFmtId="1" fontId="22" fillId="0" borderId="0" xfId="0" applyNumberFormat="1" applyFont="1"/>
    <xf numFmtId="9" fontId="41" fillId="0" borderId="0" xfId="0" applyNumberFormat="1" applyFont="1"/>
    <xf numFmtId="9" fontId="18" fillId="0" borderId="2" xfId="0" applyNumberFormat="1" applyFont="1" applyBorder="1"/>
    <xf numFmtId="3" fontId="38" fillId="0" borderId="2" xfId="0" applyNumberFormat="1" applyFont="1" applyBorder="1"/>
    <xf numFmtId="3" fontId="18" fillId="0" borderId="2" xfId="0" applyNumberFormat="1" applyFont="1" applyBorder="1"/>
    <xf numFmtId="0" fontId="22" fillId="0" borderId="2" xfId="0" applyFont="1" applyBorder="1"/>
    <xf numFmtId="0" fontId="17" fillId="0" borderId="2" xfId="0" quotePrefix="1" applyFont="1" applyBorder="1"/>
    <xf numFmtId="0" fontId="42" fillId="0" borderId="0" xfId="0" applyFont="1"/>
    <xf numFmtId="179" fontId="17" fillId="4" borderId="0" xfId="0" applyNumberFormat="1" applyFont="1" applyFill="1"/>
    <xf numFmtId="2" fontId="18" fillId="0" borderId="2" xfId="0" applyNumberFormat="1" applyFont="1" applyBorder="1" applyAlignment="1">
      <alignment horizontal="right"/>
    </xf>
    <xf numFmtId="17" fontId="18" fillId="0" borderId="2" xfId="0" applyNumberFormat="1" applyFont="1" applyBorder="1" applyAlignment="1">
      <alignment horizontal="right"/>
    </xf>
    <xf numFmtId="0" fontId="17" fillId="5" borderId="0" xfId="0" applyFont="1" applyFill="1"/>
    <xf numFmtId="3" fontId="17" fillId="5" borderId="0" xfId="0" applyNumberFormat="1" applyFont="1" applyFill="1"/>
    <xf numFmtId="179" fontId="17" fillId="5" borderId="0" xfId="0" applyNumberFormat="1" applyFont="1" applyFill="1"/>
    <xf numFmtId="9" fontId="17" fillId="5" borderId="0" xfId="0" applyNumberFormat="1" applyFont="1" applyFill="1"/>
    <xf numFmtId="0" fontId="17" fillId="5" borderId="0" xfId="0" applyFont="1" applyFill="1" applyAlignment="1">
      <alignment horizontal="right"/>
    </xf>
    <xf numFmtId="0" fontId="17" fillId="5" borderId="2" xfId="0" applyFont="1" applyFill="1" applyBorder="1"/>
    <xf numFmtId="3" fontId="17" fillId="5" borderId="2" xfId="0" applyNumberFormat="1" applyFont="1" applyFill="1" applyBorder="1"/>
    <xf numFmtId="9" fontId="17" fillId="5" borderId="2" xfId="0" applyNumberFormat="1" applyFont="1" applyFill="1" applyBorder="1"/>
    <xf numFmtId="3" fontId="22" fillId="0" borderId="2" xfId="0" applyNumberFormat="1" applyFont="1" applyBorder="1"/>
    <xf numFmtId="183" fontId="22" fillId="0" borderId="0" xfId="0" applyNumberFormat="1" applyFont="1"/>
    <xf numFmtId="9" fontId="21" fillId="0" borderId="0" xfId="0" applyNumberFormat="1" applyFont="1"/>
    <xf numFmtId="1" fontId="17" fillId="0" borderId="2" xfId="0" applyNumberFormat="1" applyFont="1" applyBorder="1"/>
    <xf numFmtId="1" fontId="18" fillId="0" borderId="0" xfId="0" applyNumberFormat="1" applyFont="1"/>
    <xf numFmtId="0" fontId="43" fillId="0" borderId="0" xfId="0" applyFont="1"/>
    <xf numFmtId="17" fontId="0" fillId="0" borderId="0" xfId="0" applyNumberFormat="1"/>
    <xf numFmtId="183" fontId="0" fillId="0" borderId="2" xfId="0" applyNumberFormat="1" applyBorder="1"/>
    <xf numFmtId="183" fontId="18" fillId="0" borderId="0" xfId="0" applyNumberFormat="1" applyFont="1"/>
    <xf numFmtId="179" fontId="22" fillId="0" borderId="0" xfId="0" applyNumberFormat="1" applyFont="1"/>
    <xf numFmtId="3" fontId="0" fillId="0" borderId="2" xfId="0" applyNumberFormat="1" applyBorder="1" applyAlignment="1">
      <alignment horizontal="right"/>
    </xf>
    <xf numFmtId="179" fontId="17" fillId="4" borderId="2" xfId="0" applyNumberFormat="1" applyFont="1" applyFill="1" applyBorder="1"/>
    <xf numFmtId="179" fontId="17" fillId="0" borderId="2" xfId="0" applyNumberFormat="1" applyFont="1" applyBorder="1"/>
    <xf numFmtId="2" fontId="17" fillId="5" borderId="0" xfId="0" applyNumberFormat="1" applyFont="1" applyFill="1"/>
    <xf numFmtId="1" fontId="17" fillId="5" borderId="0" xfId="0" applyNumberFormat="1" applyFont="1" applyFill="1"/>
    <xf numFmtId="0" fontId="4" fillId="4" borderId="0" xfId="1" applyFont="1" applyFill="1"/>
    <xf numFmtId="0" fontId="18" fillId="5" borderId="0" xfId="0" applyFont="1" applyFill="1"/>
    <xf numFmtId="0" fontId="3" fillId="0" borderId="2" xfId="1" applyFont="1" applyBorder="1" applyAlignment="1">
      <alignment horizontal="center" wrapText="1"/>
    </xf>
    <xf numFmtId="176" fontId="17" fillId="0" borderId="0" xfId="0" applyNumberFormat="1" applyFont="1"/>
    <xf numFmtId="3" fontId="17" fillId="4" borderId="0" xfId="0" applyNumberFormat="1" applyFont="1" applyFill="1"/>
    <xf numFmtId="10" fontId="17" fillId="5" borderId="0" xfId="0" applyNumberFormat="1" applyFont="1" applyFill="1"/>
    <xf numFmtId="10" fontId="22" fillId="5" borderId="0" xfId="0" applyNumberFormat="1" applyFont="1" applyFill="1"/>
    <xf numFmtId="0" fontId="0" fillId="5" borderId="0" xfId="0" applyFill="1"/>
    <xf numFmtId="0" fontId="17" fillId="0" borderId="4" xfId="0" applyFont="1" applyBorder="1"/>
    <xf numFmtId="9" fontId="17" fillId="0" borderId="5" xfId="0" applyNumberFormat="1" applyFont="1" applyBorder="1"/>
    <xf numFmtId="9" fontId="17" fillId="0" borderId="6" xfId="0" applyNumberFormat="1" applyFont="1" applyBorder="1"/>
    <xf numFmtId="170" fontId="17" fillId="0" borderId="2" xfId="0" applyNumberFormat="1" applyFont="1" applyBorder="1"/>
    <xf numFmtId="183" fontId="17" fillId="4" borderId="0" xfId="0" applyNumberFormat="1" applyFont="1" applyFill="1"/>
    <xf numFmtId="9" fontId="0" fillId="5" borderId="0" xfId="0" applyNumberFormat="1" applyFill="1"/>
    <xf numFmtId="9" fontId="18" fillId="0" borderId="5" xfId="0" applyNumberFormat="1" applyFont="1" applyBorder="1"/>
    <xf numFmtId="9" fontId="18" fillId="0" borderId="6" xfId="0" applyNumberFormat="1" applyFont="1" applyBorder="1"/>
    <xf numFmtId="0" fontId="18" fillId="0" borderId="4" xfId="0" applyFont="1" applyBorder="1"/>
    <xf numFmtId="0" fontId="44" fillId="7" borderId="0" xfId="0" applyFont="1" applyFill="1"/>
    <xf numFmtId="3" fontId="17" fillId="7" borderId="0" xfId="0" applyNumberFormat="1" applyFont="1" applyFill="1"/>
    <xf numFmtId="9" fontId="17" fillId="7" borderId="0" xfId="0" applyNumberFormat="1" applyFont="1" applyFill="1"/>
    <xf numFmtId="170" fontId="22" fillId="7" borderId="0" xfId="0" applyNumberFormat="1" applyFont="1" applyFill="1"/>
    <xf numFmtId="179" fontId="18" fillId="0" borderId="0" xfId="0" applyNumberFormat="1" applyFont="1"/>
    <xf numFmtId="0" fontId="45" fillId="0" borderId="0" xfId="0" applyFont="1"/>
    <xf numFmtId="9" fontId="45" fillId="0" borderId="0" xfId="0" applyNumberFormat="1" applyFont="1"/>
    <xf numFmtId="0" fontId="18" fillId="7" borderId="0" xfId="0" applyFont="1" applyFill="1"/>
    <xf numFmtId="3" fontId="18" fillId="7" borderId="0" xfId="0" applyNumberFormat="1" applyFont="1" applyFill="1"/>
    <xf numFmtId="179" fontId="45" fillId="0" borderId="0" xfId="0" applyNumberFormat="1" applyFont="1"/>
    <xf numFmtId="179" fontId="45" fillId="0" borderId="2" xfId="0" applyNumberFormat="1" applyFont="1" applyBorder="1"/>
    <xf numFmtId="1" fontId="45" fillId="0" borderId="0" xfId="0" applyNumberFormat="1" applyFont="1"/>
    <xf numFmtId="170" fontId="45" fillId="0" borderId="0" xfId="0" applyNumberFormat="1" applyFont="1"/>
    <xf numFmtId="170" fontId="45" fillId="0" borderId="2" xfId="0" applyNumberFormat="1" applyFont="1" applyBorder="1"/>
    <xf numFmtId="10" fontId="45" fillId="0" borderId="0" xfId="0" applyNumberFormat="1" applyFont="1"/>
    <xf numFmtId="0" fontId="18" fillId="4" borderId="0" xfId="0" applyFont="1" applyFill="1"/>
    <xf numFmtId="9" fontId="45" fillId="0" borderId="2" xfId="0" applyNumberFormat="1" applyFont="1" applyBorder="1"/>
    <xf numFmtId="9" fontId="17" fillId="0" borderId="7" xfId="0" applyNumberFormat="1" applyFont="1" applyBorder="1"/>
    <xf numFmtId="2" fontId="17" fillId="4" borderId="0" xfId="0" applyNumberFormat="1" applyFont="1" applyFill="1"/>
    <xf numFmtId="2" fontId="45" fillId="0" borderId="0" xfId="0" applyNumberFormat="1" applyFont="1"/>
    <xf numFmtId="1" fontId="17" fillId="4" borderId="0" xfId="0" applyNumberFormat="1" applyFont="1" applyFill="1"/>
    <xf numFmtId="9" fontId="17" fillId="4" borderId="0" xfId="0" applyNumberFormat="1" applyFont="1" applyFill="1"/>
    <xf numFmtId="170" fontId="17" fillId="4" borderId="0" xfId="0" applyNumberFormat="1" applyFont="1" applyFill="1"/>
    <xf numFmtId="9" fontId="0" fillId="0" borderId="0" xfId="0" applyNumberFormat="1" applyAlignment="1">
      <alignment horizontal="right"/>
    </xf>
    <xf numFmtId="0" fontId="23" fillId="0" borderId="0" xfId="0" applyFont="1" applyAlignment="1">
      <alignment horizontal="center"/>
    </xf>
    <xf numFmtId="179" fontId="0" fillId="4" borderId="0" xfId="0" applyNumberFormat="1" applyFill="1"/>
    <xf numFmtId="17" fontId="1" fillId="0" borderId="0" xfId="0" applyNumberFormat="1" applyFont="1"/>
    <xf numFmtId="16" fontId="46" fillId="0" borderId="8" xfId="0" applyNumberFormat="1" applyFont="1" applyBorder="1"/>
    <xf numFmtId="1" fontId="46" fillId="0" borderId="8" xfId="0" applyNumberFormat="1" applyFont="1" applyBorder="1"/>
    <xf numFmtId="0" fontId="47" fillId="0" borderId="0" xfId="14" applyFont="1" applyAlignment="1">
      <alignment horizontal="right"/>
    </xf>
    <xf numFmtId="0" fontId="30" fillId="0" borderId="0" xfId="14"/>
    <xf numFmtId="0" fontId="47" fillId="8" borderId="9" xfId="0" applyFont="1" applyFill="1" applyBorder="1" applyAlignment="1">
      <alignment horizontal="left" vertical="center"/>
    </xf>
    <xf numFmtId="183" fontId="47" fillId="8" borderId="9" xfId="0" applyNumberFormat="1" applyFont="1" applyFill="1" applyBorder="1" applyAlignment="1">
      <alignment horizontal="right" vertical="center"/>
    </xf>
    <xf numFmtId="3" fontId="47" fillId="8" borderId="9" xfId="0" applyNumberFormat="1" applyFont="1" applyFill="1" applyBorder="1" applyAlignment="1">
      <alignment horizontal="right" vertical="center"/>
    </xf>
    <xf numFmtId="0" fontId="47" fillId="8" borderId="9" xfId="0" applyFont="1" applyFill="1" applyBorder="1" applyAlignment="1">
      <alignment horizontal="right" vertical="center"/>
    </xf>
    <xf numFmtId="0" fontId="47" fillId="0" borderId="0" xfId="14" applyFont="1"/>
    <xf numFmtId="183" fontId="47" fillId="5" borderId="0" xfId="0" applyNumberFormat="1" applyFont="1" applyFill="1" applyAlignment="1">
      <alignment horizontal="right" vertical="center"/>
    </xf>
    <xf numFmtId="0" fontId="47" fillId="8" borderId="0" xfId="0" applyFont="1" applyFill="1" applyAlignment="1">
      <alignment horizontal="left" vertical="center"/>
    </xf>
    <xf numFmtId="3" fontId="47" fillId="8" borderId="0" xfId="0" applyNumberFormat="1" applyFont="1" applyFill="1" applyAlignment="1">
      <alignment horizontal="right" vertical="center"/>
    </xf>
    <xf numFmtId="0" fontId="47" fillId="8" borderId="0" xfId="0" applyFont="1" applyFill="1" applyAlignment="1">
      <alignment horizontal="right" vertical="center"/>
    </xf>
    <xf numFmtId="9" fontId="47" fillId="0" borderId="0" xfId="38" applyFont="1" applyFill="1" applyBorder="1" applyAlignment="1">
      <alignment horizontal="right" vertical="center"/>
    </xf>
    <xf numFmtId="170" fontId="47" fillId="0" borderId="0" xfId="14" applyNumberFormat="1" applyFont="1"/>
    <xf numFmtId="3" fontId="47" fillId="5" borderId="0" xfId="0" applyNumberFormat="1" applyFont="1" applyFill="1" applyAlignment="1">
      <alignment horizontal="right" vertical="center"/>
    </xf>
    <xf numFmtId="9" fontId="47" fillId="5" borderId="0" xfId="38" applyFont="1" applyFill="1" applyBorder="1" applyAlignment="1">
      <alignment horizontal="right" vertical="center"/>
    </xf>
    <xf numFmtId="0" fontId="47" fillId="5" borderId="0" xfId="0" applyFont="1" applyFill="1" applyAlignment="1">
      <alignment horizontal="left" vertical="center"/>
    </xf>
    <xf numFmtId="0" fontId="47" fillId="5" borderId="0" xfId="0" applyFont="1" applyFill="1" applyAlignment="1">
      <alignment horizontal="right" vertical="center"/>
    </xf>
    <xf numFmtId="183" fontId="47" fillId="0" borderId="0" xfId="0" applyNumberFormat="1" applyFont="1" applyAlignment="1">
      <alignment horizontal="right" vertical="center"/>
    </xf>
    <xf numFmtId="0" fontId="47" fillId="0" borderId="0" xfId="0" applyFont="1" applyAlignment="1">
      <alignment horizontal="left" vertical="center"/>
    </xf>
    <xf numFmtId="0" fontId="47" fillId="0" borderId="0" xfId="0" applyFont="1" applyAlignment="1">
      <alignment horizontal="right" vertical="center"/>
    </xf>
    <xf numFmtId="0" fontId="48" fillId="0" borderId="0" xfId="0" applyFont="1" applyAlignment="1">
      <alignment horizontal="left" vertical="center"/>
    </xf>
    <xf numFmtId="3" fontId="47" fillId="0" borderId="0" xfId="0" applyNumberFormat="1" applyFont="1" applyAlignment="1">
      <alignment horizontal="right" vertical="center"/>
    </xf>
    <xf numFmtId="0" fontId="47" fillId="0" borderId="0" xfId="0" quotePrefix="1" applyFont="1" applyAlignment="1">
      <alignment horizontal="left" vertical="center" indent="1"/>
    </xf>
    <xf numFmtId="0" fontId="47" fillId="0" borderId="0" xfId="0" applyFont="1" applyAlignment="1">
      <alignment horizontal="left" vertical="center" indent="1"/>
    </xf>
    <xf numFmtId="186" fontId="47" fillId="0" borderId="0" xfId="38" applyNumberFormat="1" applyFont="1" applyFill="1" applyBorder="1" applyAlignment="1">
      <alignment horizontal="right" vertical="center"/>
    </xf>
    <xf numFmtId="0" fontId="47" fillId="5" borderId="9" xfId="0" applyFont="1" applyFill="1" applyBorder="1" applyAlignment="1">
      <alignment horizontal="left" vertical="center"/>
    </xf>
    <xf numFmtId="0" fontId="47" fillId="5" borderId="9" xfId="0" applyFont="1" applyFill="1" applyBorder="1" applyAlignment="1">
      <alignment horizontal="right" vertical="center"/>
    </xf>
    <xf numFmtId="0" fontId="47" fillId="5" borderId="2" xfId="0" applyFont="1" applyFill="1" applyBorder="1" applyAlignment="1">
      <alignment horizontal="left" vertical="center"/>
    </xf>
    <xf numFmtId="0" fontId="47" fillId="5" borderId="2" xfId="0" applyFont="1" applyFill="1" applyBorder="1" applyAlignment="1">
      <alignment horizontal="right" vertical="center"/>
    </xf>
    <xf numFmtId="0" fontId="48" fillId="5" borderId="0" xfId="0" applyFont="1" applyFill="1" applyAlignment="1">
      <alignment horizontal="left" vertical="center"/>
    </xf>
    <xf numFmtId="0" fontId="47" fillId="5" borderId="0" xfId="0" quotePrefix="1" applyFont="1" applyFill="1" applyAlignment="1">
      <alignment horizontal="left" vertical="center" indent="1"/>
    </xf>
    <xf numFmtId="0" fontId="47" fillId="5" borderId="0" xfId="0" applyFont="1" applyFill="1" applyAlignment="1">
      <alignment horizontal="left" vertical="center" indent="1"/>
    </xf>
    <xf numFmtId="0" fontId="47" fillId="5" borderId="2" xfId="0" applyFont="1" applyFill="1" applyBorder="1" applyAlignment="1">
      <alignment horizontal="left" vertical="center" indent="1"/>
    </xf>
    <xf numFmtId="9" fontId="47" fillId="5" borderId="0" xfId="0" applyNumberFormat="1" applyFont="1" applyFill="1" applyAlignment="1">
      <alignment horizontal="right" vertical="center"/>
    </xf>
    <xf numFmtId="4" fontId="47" fillId="5" borderId="0" xfId="0" applyNumberFormat="1" applyFont="1" applyFill="1" applyAlignment="1">
      <alignment horizontal="right" vertical="center"/>
    </xf>
    <xf numFmtId="4" fontId="47" fillId="5" borderId="2" xfId="0" applyNumberFormat="1" applyFont="1" applyFill="1" applyBorder="1" applyAlignment="1">
      <alignment horizontal="right" vertical="center"/>
    </xf>
    <xf numFmtId="9" fontId="47" fillId="5" borderId="2" xfId="38" applyFont="1" applyFill="1" applyBorder="1" applyAlignment="1">
      <alignment horizontal="right" vertical="center"/>
    </xf>
    <xf numFmtId="0" fontId="50" fillId="0" borderId="0" xfId="0" applyFont="1" applyAlignment="1">
      <alignment horizontal="left" vertical="center"/>
    </xf>
    <xf numFmtId="4" fontId="47" fillId="0" borderId="0" xfId="0" applyNumberFormat="1" applyFont="1" applyAlignment="1">
      <alignment horizontal="right" vertical="center"/>
    </xf>
    <xf numFmtId="3" fontId="47" fillId="5" borderId="2" xfId="0" applyNumberFormat="1" applyFont="1" applyFill="1" applyBorder="1" applyAlignment="1">
      <alignment horizontal="right" vertical="center"/>
    </xf>
    <xf numFmtId="170" fontId="46" fillId="0" borderId="0" xfId="0" applyNumberFormat="1" applyFont="1" applyAlignment="1">
      <alignment horizontal="right" vertical="center"/>
    </xf>
    <xf numFmtId="0" fontId="46" fillId="0" borderId="0" xfId="0" applyFont="1" applyAlignment="1">
      <alignment horizontal="left" vertical="center"/>
    </xf>
    <xf numFmtId="3" fontId="46" fillId="0" borderId="0" xfId="0" applyNumberFormat="1" applyFont="1" applyAlignment="1">
      <alignment horizontal="right" vertical="center"/>
    </xf>
    <xf numFmtId="9" fontId="46" fillId="0" borderId="0" xfId="38" applyFont="1" applyFill="1" applyBorder="1" applyAlignment="1">
      <alignment horizontal="right" vertical="center"/>
    </xf>
    <xf numFmtId="0" fontId="17" fillId="5" borderId="2" xfId="0" applyFont="1" applyFill="1" applyBorder="1" applyAlignment="1">
      <alignment horizontal="right"/>
    </xf>
    <xf numFmtId="179" fontId="17" fillId="0" borderId="3" xfId="0" applyNumberFormat="1" applyFont="1" applyBorder="1"/>
    <xf numFmtId="179" fontId="17" fillId="5" borderId="2" xfId="0" applyNumberFormat="1" applyFont="1" applyFill="1" applyBorder="1"/>
    <xf numFmtId="0" fontId="18" fillId="0" borderId="2" xfId="0" applyFont="1" applyBorder="1" applyAlignment="1">
      <alignment horizontal="left"/>
    </xf>
    <xf numFmtId="1" fontId="22" fillId="0" borderId="2" xfId="0" applyNumberFormat="1" applyFont="1" applyBorder="1"/>
    <xf numFmtId="0" fontId="17" fillId="9" borderId="0" xfId="0" applyFont="1" applyFill="1"/>
    <xf numFmtId="0" fontId="0" fillId="9" borderId="0" xfId="0" applyFill="1"/>
    <xf numFmtId="0" fontId="51" fillId="9" borderId="0" xfId="0" applyFont="1" applyFill="1"/>
    <xf numFmtId="3" fontId="52" fillId="9" borderId="0" xfId="0" applyNumberFormat="1" applyFont="1" applyFill="1"/>
    <xf numFmtId="0" fontId="52" fillId="9" borderId="0" xfId="0" applyFont="1" applyFill="1"/>
    <xf numFmtId="0" fontId="38" fillId="0" borderId="0" xfId="0" applyFont="1"/>
    <xf numFmtId="0" fontId="46" fillId="5" borderId="0" xfId="14" applyFont="1" applyFill="1"/>
    <xf numFmtId="3" fontId="46" fillId="5" borderId="0" xfId="14" applyNumberFormat="1" applyFont="1" applyFill="1"/>
    <xf numFmtId="0" fontId="47" fillId="5" borderId="0" xfId="14" applyFont="1" applyFill="1"/>
    <xf numFmtId="0" fontId="46" fillId="0" borderId="0" xfId="14" applyFont="1"/>
    <xf numFmtId="0" fontId="47" fillId="5" borderId="0" xfId="14" quotePrefix="1" applyFont="1" applyFill="1"/>
    <xf numFmtId="3" fontId="47" fillId="5" borderId="0" xfId="14" applyNumberFormat="1" applyFont="1" applyFill="1"/>
    <xf numFmtId="0" fontId="47" fillId="0" borderId="0" xfId="14" quotePrefix="1" applyFont="1"/>
    <xf numFmtId="3" fontId="47" fillId="0" borderId="0" xfId="14" applyNumberFormat="1" applyFont="1"/>
    <xf numFmtId="0" fontId="47" fillId="5" borderId="2" xfId="14" applyFont="1" applyFill="1" applyBorder="1"/>
    <xf numFmtId="3" fontId="47" fillId="5" borderId="2" xfId="14" applyNumberFormat="1" applyFont="1" applyFill="1" applyBorder="1"/>
    <xf numFmtId="170" fontId="22" fillId="0" borderId="2" xfId="0" applyNumberFormat="1" applyFont="1" applyBorder="1"/>
    <xf numFmtId="170" fontId="47" fillId="5" borderId="0" xfId="14" applyNumberFormat="1" applyFont="1" applyFill="1"/>
    <xf numFmtId="9" fontId="46" fillId="5" borderId="0" xfId="38" applyFont="1" applyFill="1" applyBorder="1" applyAlignment="1">
      <alignment horizontal="right" vertical="center"/>
    </xf>
    <xf numFmtId="43" fontId="4" fillId="0" borderId="0" xfId="1" applyNumberFormat="1" applyFont="1"/>
    <xf numFmtId="170" fontId="17" fillId="5" borderId="0" xfId="0" applyNumberFormat="1" applyFont="1" applyFill="1"/>
    <xf numFmtId="0" fontId="38" fillId="0" borderId="0" xfId="37" applyFont="1" applyAlignment="1">
      <alignment horizontal="left"/>
    </xf>
    <xf numFmtId="0" fontId="3" fillId="0" borderId="1" xfId="1" applyFont="1" applyBorder="1" applyAlignment="1">
      <alignment horizontal="center"/>
    </xf>
    <xf numFmtId="0" fontId="6" fillId="0" borderId="1" xfId="1" applyFont="1" applyBorder="1"/>
    <xf numFmtId="0" fontId="3" fillId="0" borderId="1" xfId="1" applyFont="1" applyBorder="1" applyAlignment="1">
      <alignment horizontal="center" wrapText="1"/>
    </xf>
    <xf numFmtId="0" fontId="1" fillId="5" borderId="0" xfId="0" applyFont="1" applyFill="1"/>
    <xf numFmtId="0" fontId="0" fillId="5" borderId="0" xfId="0" applyFill="1" applyAlignment="1">
      <alignment horizontal="right"/>
    </xf>
    <xf numFmtId="0" fontId="0" fillId="5" borderId="0" xfId="0" quotePrefix="1" applyFill="1"/>
    <xf numFmtId="3" fontId="0" fillId="5" borderId="0" xfId="0" applyNumberFormat="1" applyFill="1"/>
    <xf numFmtId="170" fontId="0" fillId="5" borderId="0" xfId="0" applyNumberFormat="1" applyFill="1"/>
    <xf numFmtId="9" fontId="0" fillId="5" borderId="0" xfId="0" applyNumberFormat="1" applyFill="1" applyAlignment="1">
      <alignment horizontal="right"/>
    </xf>
    <xf numFmtId="0" fontId="0" fillId="5" borderId="2" xfId="0" applyFill="1" applyBorder="1"/>
    <xf numFmtId="170" fontId="0" fillId="5" borderId="2" xfId="0" applyNumberFormat="1" applyFill="1" applyBorder="1" applyAlignment="1">
      <alignment horizontal="right"/>
    </xf>
    <xf numFmtId="170" fontId="0" fillId="5" borderId="2" xfId="0" applyNumberFormat="1" applyFill="1" applyBorder="1"/>
    <xf numFmtId="0" fontId="53" fillId="10" borderId="10" xfId="39" applyFont="1" applyFill="1" applyBorder="1"/>
    <xf numFmtId="0" fontId="54" fillId="10" borderId="10" xfId="39" applyFont="1" applyFill="1" applyBorder="1"/>
    <xf numFmtId="0" fontId="37" fillId="0" borderId="0" xfId="39"/>
    <xf numFmtId="0" fontId="54" fillId="10" borderId="0" xfId="39" applyFont="1" applyFill="1"/>
    <xf numFmtId="0" fontId="55" fillId="10" borderId="0" xfId="39" applyFont="1" applyFill="1"/>
    <xf numFmtId="14" fontId="56" fillId="10" borderId="0" xfId="39" applyNumberFormat="1" applyFont="1" applyFill="1" applyAlignment="1">
      <alignment horizontal="left"/>
    </xf>
    <xf numFmtId="0" fontId="57" fillId="10" borderId="0" xfId="39" applyFont="1" applyFill="1"/>
    <xf numFmtId="187" fontId="54" fillId="10" borderId="0" xfId="39" applyNumberFormat="1" applyFont="1" applyFill="1"/>
    <xf numFmtId="0" fontId="58" fillId="10" borderId="0" xfId="39" applyFont="1" applyFill="1"/>
    <xf numFmtId="0" fontId="37" fillId="10" borderId="0" xfId="39" applyFill="1"/>
    <xf numFmtId="0" fontId="59" fillId="10" borderId="0" xfId="39" applyFont="1" applyFill="1"/>
    <xf numFmtId="0" fontId="57" fillId="10" borderId="0" xfId="39" quotePrefix="1" applyFont="1" applyFill="1"/>
    <xf numFmtId="0" fontId="56" fillId="10" borderId="0" xfId="39" applyFont="1" applyFill="1"/>
    <xf numFmtId="0" fontId="60" fillId="10" borderId="0" xfId="39" applyFont="1" applyFill="1"/>
    <xf numFmtId="180" fontId="54" fillId="10" borderId="0" xfId="40" applyNumberFormat="1" applyFont="1" applyFill="1"/>
    <xf numFmtId="0" fontId="56" fillId="10" borderId="0" xfId="39" applyFont="1" applyFill="1" applyAlignment="1">
      <alignment horizontal="right"/>
    </xf>
    <xf numFmtId="189" fontId="61" fillId="11" borderId="0" xfId="39" applyNumberFormat="1" applyFont="1" applyFill="1" applyAlignment="1">
      <alignment horizontal="right"/>
    </xf>
    <xf numFmtId="37" fontId="56" fillId="10" borderId="0" xfId="39" applyNumberFormat="1" applyFont="1" applyFill="1"/>
  </cellXfs>
  <cellStyles count="41">
    <cellStyle name="%" xfId="3" xr:uid="{29142ABA-9D5F-4AE1-908C-1B36C255E497}"/>
    <cellStyle name="% 2" xfId="5" xr:uid="{2C1886A1-C16C-4A48-9DAB-74209B43ADA8}"/>
    <cellStyle name="% 2 3" xfId="6" xr:uid="{0423FB10-807C-445F-A458-27BF00FE1A1A}"/>
    <cellStyle name="% 3" xfId="7" xr:uid="{3ADC42EB-2B10-482C-A5ED-94140E92CF92}"/>
    <cellStyle name="=C:\WINNT\SYSTEM32\COMMAND.COM" xfId="8" xr:uid="{88A9E9B0-F735-4A29-8242-7D4526F709E3}"/>
    <cellStyle name="=C:\WINNT35\SYSTEM32\COMMAND.COM" xfId="9" xr:uid="{1F4D2022-D633-4685-8BC5-C1A4937FED0F}"/>
    <cellStyle name="Comma" xfId="36" builtinId="3"/>
    <cellStyle name="Comma 2" xfId="10" xr:uid="{48530894-EE0A-44B4-A5DA-6EA2EDFED62E}"/>
    <cellStyle name="Comma 2 2" xfId="28" xr:uid="{D15BA67B-6C36-4B33-82FA-B9F9F6DB387D}"/>
    <cellStyle name="Comma 2 2 2" xfId="33" xr:uid="{E3FB5A0D-E00F-4B5C-AFBD-B1AF368992DE}"/>
    <cellStyle name="Comma 3" xfId="23" xr:uid="{710C1BCB-A1BA-4C88-B6D0-101C6F610876}"/>
    <cellStyle name="Comma 3 2" xfId="30" xr:uid="{875F4063-D98B-4E33-B5AD-CC4E79B6894C}"/>
    <cellStyle name="Comma 3 2 2" xfId="35" xr:uid="{CBE1D731-339A-4BFD-A0F4-3969694A1A7C}"/>
    <cellStyle name="Comma 3 5" xfId="40" xr:uid="{FF9DAB4B-08B9-497B-B764-9CA529198FCE}"/>
    <cellStyle name="Comma 4" xfId="26" xr:uid="{6A16770B-C7AF-41FD-B0DB-9D882A0B6356}"/>
    <cellStyle name="Comma 4 2" xfId="32" xr:uid="{D07E7B59-1519-47B8-8D10-F60CE5FFB8F2}"/>
    <cellStyle name="Comma 5" xfId="31" xr:uid="{40AFB2B5-1AEC-4621-A7A4-5D94217014EB}"/>
    <cellStyle name="Comma 6" xfId="2" xr:uid="{13126FB0-F790-4501-85D6-ABBFA97DB9A3}"/>
    <cellStyle name="Euro" xfId="11" xr:uid="{3F2F9262-A189-4E66-8C84-3D1D80DC56F5}"/>
    <cellStyle name="Hyperlink 2" xfId="12" xr:uid="{2175DCD1-ACFA-411C-97BA-BF6A7442C23A}"/>
    <cellStyle name="Millares 2" xfId="13" xr:uid="{6F1BDC85-9F00-4D8E-A690-0700104C812D}"/>
    <cellStyle name="Millares 2 2" xfId="29" xr:uid="{EF522973-914F-4282-8621-B1040F1CB42D}"/>
    <cellStyle name="Millares 2 2 2" xfId="34" xr:uid="{0F7A1E93-0917-420C-BAB7-1E40D248B7B2}"/>
    <cellStyle name="Normal" xfId="0" builtinId="0"/>
    <cellStyle name="Normal 2" xfId="1" xr:uid="{B7D0210F-5C79-4DBA-9385-9E2281A3C81E}"/>
    <cellStyle name="Normal 2 2" xfId="4" xr:uid="{B7D95EEF-BDB8-48CB-BEF3-1C57F575C2E2}"/>
    <cellStyle name="Normal 3" xfId="14" xr:uid="{35CA840A-8430-4FCB-A736-D37BE9413D83}"/>
    <cellStyle name="Normal 4" xfId="22" xr:uid="{54C2FBC9-2165-4345-8AFC-19A540D8C8C8}"/>
    <cellStyle name="Normal 4 3" xfId="39" xr:uid="{E947A60B-96CE-47A8-B457-BADD639D99F5}"/>
    <cellStyle name="Normal 5" xfId="25" xr:uid="{EE56ADB4-FC01-4978-9FD1-16F76AB03952}"/>
    <cellStyle name="Normal 6" xfId="24" xr:uid="{1677BD71-23CD-42A2-88B0-6C052CA16CA7}"/>
    <cellStyle name="Normal_dt2" xfId="37" xr:uid="{704D3436-32F8-4A08-B221-F95BB8E71BCB}"/>
    <cellStyle name="Percent 2" xfId="15" xr:uid="{33F3748B-3461-48D0-97F5-8489156777FA}"/>
    <cellStyle name="Percent 2 2" xfId="38" xr:uid="{304BE2AA-EAFB-4ACB-81D4-5913A6B98F5D}"/>
    <cellStyle name="Percent 3" xfId="27" xr:uid="{F1D87774-B082-457D-94D6-41E91220D1BB}"/>
    <cellStyle name="Porcentaje 2" xfId="16" xr:uid="{B3C04D9E-FB74-4442-899E-5A823FBC780C}"/>
    <cellStyle name="Porcentaje 3" xfId="17" xr:uid="{36DC7C38-3A1F-4842-9D19-2409A4B8A850}"/>
    <cellStyle name="Porcentaje 4" xfId="18" xr:uid="{3B08F121-01BB-4956-97A8-5605576475B8}"/>
    <cellStyle name="Porcentaje 5" xfId="19" xr:uid="{C8C767CB-3949-4740-81A5-2559F0439133}"/>
    <cellStyle name="Porcentaje 5 2" xfId="20" xr:uid="{BBC2F5D2-4A80-436F-B021-B02A6C6C434E}"/>
    <cellStyle name="Style 1" xfId="21" xr:uid="{7CD9C87E-8A35-40B1-943A-D272DED437B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externalLink" Target="externalLinks/externalLink10.xml"/><Relationship Id="rId39" Type="http://schemas.openxmlformats.org/officeDocument/2006/relationships/externalLink" Target="externalLinks/externalLink23.xml"/><Relationship Id="rId21" Type="http://schemas.openxmlformats.org/officeDocument/2006/relationships/externalLink" Target="externalLinks/externalLink5.xml"/><Relationship Id="rId34" Type="http://schemas.openxmlformats.org/officeDocument/2006/relationships/externalLink" Target="externalLinks/externalLink18.xml"/><Relationship Id="rId42" Type="http://schemas.openxmlformats.org/officeDocument/2006/relationships/styles" Target="styles.xml"/><Relationship Id="rId47"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1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8.xml"/><Relationship Id="rId32" Type="http://schemas.openxmlformats.org/officeDocument/2006/relationships/externalLink" Target="externalLinks/externalLink16.xml"/><Relationship Id="rId37" Type="http://schemas.openxmlformats.org/officeDocument/2006/relationships/externalLink" Target="externalLinks/externalLink21.xml"/><Relationship Id="rId40" Type="http://schemas.openxmlformats.org/officeDocument/2006/relationships/externalLink" Target="externalLinks/externalLink24.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7.xml"/><Relationship Id="rId28" Type="http://schemas.openxmlformats.org/officeDocument/2006/relationships/externalLink" Target="externalLinks/externalLink12.xml"/><Relationship Id="rId36" Type="http://schemas.openxmlformats.org/officeDocument/2006/relationships/externalLink" Target="externalLinks/externalLink20.xml"/><Relationship Id="rId10" Type="http://schemas.openxmlformats.org/officeDocument/2006/relationships/worksheet" Target="worksheets/sheet10.xml"/><Relationship Id="rId19" Type="http://schemas.openxmlformats.org/officeDocument/2006/relationships/externalLink" Target="externalLinks/externalLink3.xml"/><Relationship Id="rId31" Type="http://schemas.openxmlformats.org/officeDocument/2006/relationships/externalLink" Target="externalLinks/externalLink15.xml"/><Relationship Id="rId44"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6.xml"/><Relationship Id="rId27" Type="http://schemas.openxmlformats.org/officeDocument/2006/relationships/externalLink" Target="externalLinks/externalLink11.xml"/><Relationship Id="rId30" Type="http://schemas.openxmlformats.org/officeDocument/2006/relationships/externalLink" Target="externalLinks/externalLink14.xml"/><Relationship Id="rId35" Type="http://schemas.openxmlformats.org/officeDocument/2006/relationships/externalLink" Target="externalLinks/externalLink19.xml"/><Relationship Id="rId43" Type="http://schemas.openxmlformats.org/officeDocument/2006/relationships/sharedStrings" Target="sharedStrings.xml"/><Relationship Id="rId48" Type="http://schemas.openxmlformats.org/officeDocument/2006/relationships/customXml" Target="../customXml/item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externalLink" Target="externalLinks/externalLink9.xml"/><Relationship Id="rId33" Type="http://schemas.openxmlformats.org/officeDocument/2006/relationships/externalLink" Target="externalLinks/externalLink17.xml"/><Relationship Id="rId38" Type="http://schemas.openxmlformats.org/officeDocument/2006/relationships/externalLink" Target="externalLinks/externalLink22.xml"/><Relationship Id="rId46" Type="http://schemas.openxmlformats.org/officeDocument/2006/relationships/customXml" Target="../customXml/item1.xml"/><Relationship Id="rId20" Type="http://schemas.openxmlformats.org/officeDocument/2006/relationships/externalLink" Target="externalLinks/externalLink4.xml"/><Relationship Id="rId41"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8.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9.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1.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42.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3.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44.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45.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46.xml.rels><?xml version="1.0" encoding="UTF-8" standalone="yes"?>
<Relationships xmlns="http://schemas.openxmlformats.org/package/2006/relationships"><Relationship Id="rId2" Type="http://schemas.microsoft.com/office/2011/relationships/chartColorStyle" Target="colors45.xml"/><Relationship Id="rId1" Type="http://schemas.microsoft.com/office/2011/relationships/chartStyle" Target="style45.xml"/></Relationships>
</file>

<file path=xl/charts/_rels/chart47.xml.rels><?xml version="1.0" encoding="UTF-8" standalone="yes"?>
<Relationships xmlns="http://schemas.openxmlformats.org/package/2006/relationships"><Relationship Id="rId2" Type="http://schemas.microsoft.com/office/2011/relationships/chartColorStyle" Target="colors46.xml"/><Relationship Id="rId1" Type="http://schemas.microsoft.com/office/2011/relationships/chartStyle" Target="style46.xml"/></Relationships>
</file>

<file path=xl/charts/_rels/chart48.xml.rels><?xml version="1.0" encoding="UTF-8" standalone="yes"?>
<Relationships xmlns="http://schemas.openxmlformats.org/package/2006/relationships"><Relationship Id="rId2" Type="http://schemas.microsoft.com/office/2011/relationships/chartColorStyle" Target="colors47.xml"/><Relationship Id="rId1" Type="http://schemas.microsoft.com/office/2011/relationships/chartStyle" Target="style47.xml"/></Relationships>
</file>

<file path=xl/charts/_rels/chart49.xml.rels><?xml version="1.0" encoding="UTF-8" standalone="yes"?>
<Relationships xmlns="http://schemas.openxmlformats.org/package/2006/relationships"><Relationship Id="rId2" Type="http://schemas.microsoft.com/office/2011/relationships/chartColorStyle" Target="colors48.xml"/><Relationship Id="rId1" Type="http://schemas.microsoft.com/office/2011/relationships/chartStyle" Target="style48.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50.xml.rels><?xml version="1.0" encoding="UTF-8" standalone="yes"?>
<Relationships xmlns="http://schemas.openxmlformats.org/package/2006/relationships"><Relationship Id="rId2" Type="http://schemas.microsoft.com/office/2011/relationships/chartColorStyle" Target="colors49.xml"/><Relationship Id="rId1" Type="http://schemas.microsoft.com/office/2011/relationships/chartStyle" Target="style49.xml"/></Relationships>
</file>

<file path=xl/charts/_rels/chart51.xml.rels><?xml version="1.0" encoding="UTF-8" standalone="yes"?>
<Relationships xmlns="http://schemas.openxmlformats.org/package/2006/relationships"><Relationship Id="rId2" Type="http://schemas.microsoft.com/office/2011/relationships/chartColorStyle" Target="colors50.xml"/><Relationship Id="rId1" Type="http://schemas.microsoft.com/office/2011/relationships/chartStyle" Target="style50.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Master!$B$397</c:f>
              <c:strCache>
                <c:ptCount val="1"/>
                <c:pt idx="0">
                  <c:v>Cash App card</c:v>
                </c:pt>
              </c:strCache>
            </c:strRef>
          </c:tx>
          <c:spPr>
            <a:solidFill>
              <a:schemeClr val="accent3">
                <a:lumMod val="60000"/>
                <a:lumOff val="40000"/>
              </a:schemeClr>
            </a:solidFill>
            <a:ln>
              <a:noFill/>
            </a:ln>
            <a:effectLst/>
          </c:spPr>
          <c:invertIfNegative val="0"/>
          <c:cat>
            <c:numRef>
              <c:f>Master!$H$2:$M$2</c:f>
              <c:numCache>
                <c:formatCode>General</c:formatCode>
                <c:ptCount val="6"/>
                <c:pt idx="0">
                  <c:v>2023</c:v>
                </c:pt>
                <c:pt idx="1">
                  <c:v>2024</c:v>
                </c:pt>
                <c:pt idx="2">
                  <c:v>2025</c:v>
                </c:pt>
                <c:pt idx="3">
                  <c:v>2026</c:v>
                </c:pt>
                <c:pt idx="4">
                  <c:v>2027</c:v>
                </c:pt>
                <c:pt idx="5">
                  <c:v>2028</c:v>
                </c:pt>
              </c:numCache>
            </c:numRef>
          </c:cat>
          <c:val>
            <c:numRef>
              <c:f>Master!$H$397:$M$397</c:f>
              <c:numCache>
                <c:formatCode>0%</c:formatCode>
                <c:ptCount val="6"/>
                <c:pt idx="0">
                  <c:v>0.12942813718396423</c:v>
                </c:pt>
                <c:pt idx="1">
                  <c:v>6.8315607188034255E-2</c:v>
                </c:pt>
                <c:pt idx="2">
                  <c:v>5.0024940174425485E-2</c:v>
                </c:pt>
                <c:pt idx="3">
                  <c:v>4.1966324785226196E-2</c:v>
                </c:pt>
                <c:pt idx="4">
                  <c:v>4.0260794659780101E-2</c:v>
                </c:pt>
                <c:pt idx="5">
                  <c:v>3.4564021855147863E-2</c:v>
                </c:pt>
              </c:numCache>
            </c:numRef>
          </c:val>
          <c:extLst>
            <c:ext xmlns:c16="http://schemas.microsoft.com/office/drawing/2014/chart" uri="{C3380CC4-5D6E-409C-BE32-E72D297353CC}">
              <c16:uniqueId val="{00000000-35DE-497D-8E16-23AF8EEF21E7}"/>
            </c:ext>
          </c:extLst>
        </c:ser>
        <c:ser>
          <c:idx val="1"/>
          <c:order val="1"/>
          <c:tx>
            <c:strRef>
              <c:f>Master!$B$398</c:f>
              <c:strCache>
                <c:ptCount val="1"/>
                <c:pt idx="0">
                  <c:v>Cash App Borrow</c:v>
                </c:pt>
              </c:strCache>
            </c:strRef>
          </c:tx>
          <c:spPr>
            <a:solidFill>
              <a:schemeClr val="accent4">
                <a:lumMod val="60000"/>
                <a:lumOff val="40000"/>
              </a:schemeClr>
            </a:solidFill>
            <a:ln>
              <a:noFill/>
            </a:ln>
            <a:effectLst/>
          </c:spPr>
          <c:invertIfNegative val="0"/>
          <c:cat>
            <c:numRef>
              <c:f>Master!$H$2:$M$2</c:f>
              <c:numCache>
                <c:formatCode>General</c:formatCode>
                <c:ptCount val="6"/>
                <c:pt idx="0">
                  <c:v>2023</c:v>
                </c:pt>
                <c:pt idx="1">
                  <c:v>2024</c:v>
                </c:pt>
                <c:pt idx="2">
                  <c:v>2025</c:v>
                </c:pt>
                <c:pt idx="3">
                  <c:v>2026</c:v>
                </c:pt>
                <c:pt idx="4">
                  <c:v>2027</c:v>
                </c:pt>
                <c:pt idx="5">
                  <c:v>2028</c:v>
                </c:pt>
              </c:numCache>
            </c:numRef>
          </c:cat>
          <c:val>
            <c:numRef>
              <c:f>Master!$H$398:$M$398</c:f>
              <c:numCache>
                <c:formatCode>0%</c:formatCode>
                <c:ptCount val="6"/>
                <c:pt idx="0">
                  <c:v>2.7694120270716018E-2</c:v>
                </c:pt>
                <c:pt idx="1">
                  <c:v>2.4979975542753573E-2</c:v>
                </c:pt>
                <c:pt idx="2">
                  <c:v>1.7149125431314912E-2</c:v>
                </c:pt>
                <c:pt idx="3">
                  <c:v>1.3547062551391412E-2</c:v>
                </c:pt>
                <c:pt idx="4">
                  <c:v>1.2888940656331779E-2</c:v>
                </c:pt>
                <c:pt idx="5">
                  <c:v>1.2247713284621115E-2</c:v>
                </c:pt>
              </c:numCache>
            </c:numRef>
          </c:val>
          <c:extLst>
            <c:ext xmlns:c16="http://schemas.microsoft.com/office/drawing/2014/chart" uri="{C3380CC4-5D6E-409C-BE32-E72D297353CC}">
              <c16:uniqueId val="{00000001-35DE-497D-8E16-23AF8EEF21E7}"/>
            </c:ext>
          </c:extLst>
        </c:ser>
        <c:ser>
          <c:idx val="2"/>
          <c:order val="2"/>
          <c:tx>
            <c:strRef>
              <c:f>Master!$B$399</c:f>
              <c:strCache>
                <c:ptCount val="1"/>
                <c:pt idx="0">
                  <c:v>Cash App Pay</c:v>
                </c:pt>
              </c:strCache>
            </c:strRef>
          </c:tx>
          <c:spPr>
            <a:solidFill>
              <a:schemeClr val="accent4">
                <a:lumMod val="40000"/>
                <a:lumOff val="60000"/>
              </a:schemeClr>
            </a:solidFill>
            <a:ln>
              <a:noFill/>
            </a:ln>
            <a:effectLst/>
          </c:spPr>
          <c:invertIfNegative val="0"/>
          <c:cat>
            <c:numRef>
              <c:f>Master!$H$2:$M$2</c:f>
              <c:numCache>
                <c:formatCode>General</c:formatCode>
                <c:ptCount val="6"/>
                <c:pt idx="0">
                  <c:v>2023</c:v>
                </c:pt>
                <c:pt idx="1">
                  <c:v>2024</c:v>
                </c:pt>
                <c:pt idx="2">
                  <c:v>2025</c:v>
                </c:pt>
                <c:pt idx="3">
                  <c:v>2026</c:v>
                </c:pt>
                <c:pt idx="4">
                  <c:v>2027</c:v>
                </c:pt>
                <c:pt idx="5">
                  <c:v>2028</c:v>
                </c:pt>
              </c:numCache>
            </c:numRef>
          </c:cat>
          <c:val>
            <c:numRef>
              <c:f>Master!$H$399:$M$399</c:f>
              <c:numCache>
                <c:formatCode>0%</c:formatCode>
                <c:ptCount val="6"/>
                <c:pt idx="0">
                  <c:v>1.1086649877988304E-2</c:v>
                </c:pt>
                <c:pt idx="1">
                  <c:v>1.7058586292207589E-2</c:v>
                </c:pt>
                <c:pt idx="2">
                  <c:v>3.0432509160135165E-2</c:v>
                </c:pt>
                <c:pt idx="3">
                  <c:v>3.5519793760044653E-2</c:v>
                </c:pt>
                <c:pt idx="4">
                  <c:v>3.5289939081671884E-2</c:v>
                </c:pt>
                <c:pt idx="5">
                  <c:v>2.8207840267036967E-2</c:v>
                </c:pt>
              </c:numCache>
            </c:numRef>
          </c:val>
          <c:extLst>
            <c:ext xmlns:c16="http://schemas.microsoft.com/office/drawing/2014/chart" uri="{C3380CC4-5D6E-409C-BE32-E72D297353CC}">
              <c16:uniqueId val="{00000002-35DE-497D-8E16-23AF8EEF21E7}"/>
            </c:ext>
          </c:extLst>
        </c:ser>
        <c:ser>
          <c:idx val="3"/>
          <c:order val="3"/>
          <c:tx>
            <c:strRef>
              <c:f>Master!$B$400</c:f>
              <c:strCache>
                <c:ptCount val="1"/>
                <c:pt idx="0">
                  <c:v>Interest on consumer funds</c:v>
                </c:pt>
              </c:strCache>
            </c:strRef>
          </c:tx>
          <c:spPr>
            <a:solidFill>
              <a:schemeClr val="accent4">
                <a:lumMod val="20000"/>
                <a:lumOff val="80000"/>
              </a:schemeClr>
            </a:solidFill>
            <a:ln>
              <a:noFill/>
            </a:ln>
            <a:effectLst/>
          </c:spPr>
          <c:invertIfNegative val="0"/>
          <c:cat>
            <c:numRef>
              <c:f>Master!$H$2:$M$2</c:f>
              <c:numCache>
                <c:formatCode>General</c:formatCode>
                <c:ptCount val="6"/>
                <c:pt idx="0">
                  <c:v>2023</c:v>
                </c:pt>
                <c:pt idx="1">
                  <c:v>2024</c:v>
                </c:pt>
                <c:pt idx="2">
                  <c:v>2025</c:v>
                </c:pt>
                <c:pt idx="3">
                  <c:v>2026</c:v>
                </c:pt>
                <c:pt idx="4">
                  <c:v>2027</c:v>
                </c:pt>
                <c:pt idx="5">
                  <c:v>2028</c:v>
                </c:pt>
              </c:numCache>
            </c:numRef>
          </c:cat>
          <c:val>
            <c:numRef>
              <c:f>Master!$H$400:$M$400</c:f>
              <c:numCache>
                <c:formatCode>0%</c:formatCode>
                <c:ptCount val="6"/>
                <c:pt idx="0">
                  <c:v>1.8489733883423454E-2</c:v>
                </c:pt>
                <c:pt idx="1">
                  <c:v>1.6190724888821766E-2</c:v>
                </c:pt>
                <c:pt idx="2">
                  <c:v>6.846851359135776E-3</c:v>
                </c:pt>
                <c:pt idx="3">
                  <c:v>-4.7712645840685504E-3</c:v>
                </c:pt>
                <c:pt idx="4">
                  <c:v>-1.4016920186208032E-3</c:v>
                </c:pt>
                <c:pt idx="5">
                  <c:v>2.5418756257841006E-3</c:v>
                </c:pt>
              </c:numCache>
            </c:numRef>
          </c:val>
          <c:extLst>
            <c:ext xmlns:c16="http://schemas.microsoft.com/office/drawing/2014/chart" uri="{C3380CC4-5D6E-409C-BE32-E72D297353CC}">
              <c16:uniqueId val="{00000003-35DE-497D-8E16-23AF8EEF21E7}"/>
            </c:ext>
          </c:extLst>
        </c:ser>
        <c:ser>
          <c:idx val="4"/>
          <c:order val="4"/>
          <c:tx>
            <c:strRef>
              <c:f>Master!$B$401</c:f>
              <c:strCache>
                <c:ptCount val="1"/>
                <c:pt idx="0">
                  <c:v>Other fin services (ATM, Studio)</c:v>
                </c:pt>
              </c:strCache>
            </c:strRef>
          </c:tx>
          <c:spPr>
            <a:solidFill>
              <a:schemeClr val="accent3">
                <a:lumMod val="40000"/>
                <a:lumOff val="60000"/>
              </a:schemeClr>
            </a:solidFill>
            <a:ln>
              <a:noFill/>
            </a:ln>
            <a:effectLst/>
          </c:spPr>
          <c:invertIfNegative val="0"/>
          <c:cat>
            <c:numRef>
              <c:f>Master!$H$2:$M$2</c:f>
              <c:numCache>
                <c:formatCode>General</c:formatCode>
                <c:ptCount val="6"/>
                <c:pt idx="0">
                  <c:v>2023</c:v>
                </c:pt>
                <c:pt idx="1">
                  <c:v>2024</c:v>
                </c:pt>
                <c:pt idx="2">
                  <c:v>2025</c:v>
                </c:pt>
                <c:pt idx="3">
                  <c:v>2026</c:v>
                </c:pt>
                <c:pt idx="4">
                  <c:v>2027</c:v>
                </c:pt>
                <c:pt idx="5">
                  <c:v>2028</c:v>
                </c:pt>
              </c:numCache>
            </c:numRef>
          </c:cat>
          <c:val>
            <c:numRef>
              <c:f>Master!$H$401:$M$401</c:f>
              <c:numCache>
                <c:formatCode>0%</c:formatCode>
                <c:ptCount val="6"/>
                <c:pt idx="0">
                  <c:v>8.4594521718558951E-3</c:v>
                </c:pt>
                <c:pt idx="1">
                  <c:v>6.4551060881828373E-3</c:v>
                </c:pt>
                <c:pt idx="2">
                  <c:v>-2.6389922038830833E-3</c:v>
                </c:pt>
                <c:pt idx="3">
                  <c:v>-4.5026654706663647E-3</c:v>
                </c:pt>
                <c:pt idx="4">
                  <c:v>-1.8365565779327176E-3</c:v>
                </c:pt>
                <c:pt idx="5">
                  <c:v>1.8078882402408219E-3</c:v>
                </c:pt>
              </c:numCache>
            </c:numRef>
          </c:val>
          <c:extLst>
            <c:ext xmlns:c16="http://schemas.microsoft.com/office/drawing/2014/chart" uri="{C3380CC4-5D6E-409C-BE32-E72D297353CC}">
              <c16:uniqueId val="{00000004-35DE-497D-8E16-23AF8EEF21E7}"/>
            </c:ext>
          </c:extLst>
        </c:ser>
        <c:ser>
          <c:idx val="5"/>
          <c:order val="5"/>
          <c:tx>
            <c:strRef>
              <c:f>Master!$B$402</c:f>
              <c:strCache>
                <c:ptCount val="1"/>
                <c:pt idx="0">
                  <c:v>BNPL</c:v>
                </c:pt>
              </c:strCache>
            </c:strRef>
          </c:tx>
          <c:spPr>
            <a:solidFill>
              <a:schemeClr val="accent6">
                <a:lumMod val="75000"/>
              </a:schemeClr>
            </a:solidFill>
            <a:ln>
              <a:noFill/>
            </a:ln>
            <a:effectLst/>
          </c:spPr>
          <c:invertIfNegative val="0"/>
          <c:cat>
            <c:numRef>
              <c:f>Master!$H$2:$M$2</c:f>
              <c:numCache>
                <c:formatCode>General</c:formatCode>
                <c:ptCount val="6"/>
                <c:pt idx="0">
                  <c:v>2023</c:v>
                </c:pt>
                <c:pt idx="1">
                  <c:v>2024</c:v>
                </c:pt>
                <c:pt idx="2">
                  <c:v>2025</c:v>
                </c:pt>
                <c:pt idx="3">
                  <c:v>2026</c:v>
                </c:pt>
                <c:pt idx="4">
                  <c:v>2027</c:v>
                </c:pt>
                <c:pt idx="5">
                  <c:v>2028</c:v>
                </c:pt>
              </c:numCache>
            </c:numRef>
          </c:cat>
          <c:val>
            <c:numRef>
              <c:f>Master!$H$402:$M$402</c:f>
              <c:numCache>
                <c:formatCode>0%</c:formatCode>
                <c:ptCount val="6"/>
                <c:pt idx="0">
                  <c:v>5.1469255886822822E-2</c:v>
                </c:pt>
                <c:pt idx="1">
                  <c:v>3.1622798668567445E-2</c:v>
                </c:pt>
                <c:pt idx="2">
                  <c:v>4.2648208005149957E-2</c:v>
                </c:pt>
                <c:pt idx="3">
                  <c:v>5.1555313048400081E-2</c:v>
                </c:pt>
                <c:pt idx="4">
                  <c:v>5.2034732468856648E-2</c:v>
                </c:pt>
                <c:pt idx="5">
                  <c:v>4.6213593890271E-2</c:v>
                </c:pt>
              </c:numCache>
            </c:numRef>
          </c:val>
          <c:extLst>
            <c:ext xmlns:c16="http://schemas.microsoft.com/office/drawing/2014/chart" uri="{C3380CC4-5D6E-409C-BE32-E72D297353CC}">
              <c16:uniqueId val="{00000005-35DE-497D-8E16-23AF8EEF21E7}"/>
            </c:ext>
          </c:extLst>
        </c:ser>
        <c:ser>
          <c:idx val="6"/>
          <c:order val="6"/>
          <c:tx>
            <c:strRef>
              <c:f>Master!$B$403</c:f>
              <c:strCache>
                <c:ptCount val="1"/>
                <c:pt idx="0">
                  <c:v>Bitcoin</c:v>
                </c:pt>
              </c:strCache>
            </c:strRef>
          </c:tx>
          <c:spPr>
            <a:solidFill>
              <a:schemeClr val="accent6">
                <a:lumMod val="60000"/>
                <a:lumOff val="40000"/>
              </a:schemeClr>
            </a:solidFill>
            <a:ln>
              <a:noFill/>
            </a:ln>
            <a:effectLst/>
          </c:spPr>
          <c:invertIfNegative val="0"/>
          <c:cat>
            <c:numRef>
              <c:f>Master!$H$2:$M$2</c:f>
              <c:numCache>
                <c:formatCode>General</c:formatCode>
                <c:ptCount val="6"/>
                <c:pt idx="0">
                  <c:v>2023</c:v>
                </c:pt>
                <c:pt idx="1">
                  <c:v>2024</c:v>
                </c:pt>
                <c:pt idx="2">
                  <c:v>2025</c:v>
                </c:pt>
                <c:pt idx="3">
                  <c:v>2026</c:v>
                </c:pt>
                <c:pt idx="4">
                  <c:v>2027</c:v>
                </c:pt>
                <c:pt idx="5">
                  <c:v>2028</c:v>
                </c:pt>
              </c:numCache>
            </c:numRef>
          </c:cat>
          <c:val>
            <c:numRef>
              <c:f>Master!$H$403:$M$403</c:f>
              <c:numCache>
                <c:formatCode>0%</c:formatCode>
                <c:ptCount val="6"/>
                <c:pt idx="0">
                  <c:v>1.5120288045401144E-2</c:v>
                </c:pt>
                <c:pt idx="1">
                  <c:v>2.1435999503175981E-2</c:v>
                </c:pt>
                <c:pt idx="2">
                  <c:v>7.1216567621630339E-4</c:v>
                </c:pt>
                <c:pt idx="3">
                  <c:v>5.53436951939819E-4</c:v>
                </c:pt>
                <c:pt idx="4">
                  <c:v>4.2766544060256228E-4</c:v>
                </c:pt>
                <c:pt idx="5">
                  <c:v>3.1905081637502339E-4</c:v>
                </c:pt>
              </c:numCache>
            </c:numRef>
          </c:val>
          <c:extLst>
            <c:ext xmlns:c16="http://schemas.microsoft.com/office/drawing/2014/chart" uri="{C3380CC4-5D6E-409C-BE32-E72D297353CC}">
              <c16:uniqueId val="{00000006-35DE-497D-8E16-23AF8EEF21E7}"/>
            </c:ext>
          </c:extLst>
        </c:ser>
        <c:ser>
          <c:idx val="7"/>
          <c:order val="7"/>
          <c:tx>
            <c:strRef>
              <c:f>Master!$B$404</c:f>
              <c:strCache>
                <c:ptCount val="1"/>
                <c:pt idx="0">
                  <c:v>Instant deposits</c:v>
                </c:pt>
              </c:strCache>
            </c:strRef>
          </c:tx>
          <c:spPr>
            <a:solidFill>
              <a:schemeClr val="accent6">
                <a:lumMod val="40000"/>
                <a:lumOff val="60000"/>
              </a:schemeClr>
            </a:solidFill>
            <a:ln>
              <a:noFill/>
            </a:ln>
            <a:effectLst/>
          </c:spPr>
          <c:invertIfNegative val="0"/>
          <c:cat>
            <c:numRef>
              <c:f>Master!$H$2:$M$2</c:f>
              <c:numCache>
                <c:formatCode>General</c:formatCode>
                <c:ptCount val="6"/>
                <c:pt idx="0">
                  <c:v>2023</c:v>
                </c:pt>
                <c:pt idx="1">
                  <c:v>2024</c:v>
                </c:pt>
                <c:pt idx="2">
                  <c:v>2025</c:v>
                </c:pt>
                <c:pt idx="3">
                  <c:v>2026</c:v>
                </c:pt>
                <c:pt idx="4">
                  <c:v>2027</c:v>
                </c:pt>
                <c:pt idx="5">
                  <c:v>2028</c:v>
                </c:pt>
              </c:numCache>
            </c:numRef>
          </c:cat>
          <c:val>
            <c:numRef>
              <c:f>Master!$H$404:$M$404</c:f>
              <c:numCache>
                <c:formatCode>0%</c:formatCode>
                <c:ptCount val="6"/>
                <c:pt idx="0">
                  <c:v>5.0685950637341173E-2</c:v>
                </c:pt>
                <c:pt idx="1">
                  <c:v>2.3200000000000012E-2</c:v>
                </c:pt>
                <c:pt idx="2">
                  <c:v>1.2950081507511925E-2</c:v>
                </c:pt>
                <c:pt idx="3">
                  <c:v>0</c:v>
                </c:pt>
                <c:pt idx="4">
                  <c:v>-1.0368939885212978E-2</c:v>
                </c:pt>
                <c:pt idx="5">
                  <c:v>-5.249109467649486E-3</c:v>
                </c:pt>
              </c:numCache>
            </c:numRef>
          </c:val>
          <c:extLst>
            <c:ext xmlns:c16="http://schemas.microsoft.com/office/drawing/2014/chart" uri="{C3380CC4-5D6E-409C-BE32-E72D297353CC}">
              <c16:uniqueId val="{00000007-35DE-497D-8E16-23AF8EEF21E7}"/>
            </c:ext>
          </c:extLst>
        </c:ser>
        <c:ser>
          <c:idx val="8"/>
          <c:order val="8"/>
          <c:tx>
            <c:strRef>
              <c:f>Master!$B$405</c:f>
              <c:strCache>
                <c:ptCount val="1"/>
                <c:pt idx="0">
                  <c:v>Other community / P2P *</c:v>
                </c:pt>
              </c:strCache>
            </c:strRef>
          </c:tx>
          <c:spPr>
            <a:solidFill>
              <a:schemeClr val="accent6">
                <a:lumMod val="20000"/>
                <a:lumOff val="80000"/>
              </a:schemeClr>
            </a:solidFill>
            <a:ln>
              <a:noFill/>
            </a:ln>
            <a:effectLst/>
          </c:spPr>
          <c:invertIfNegative val="0"/>
          <c:cat>
            <c:numRef>
              <c:f>Master!$H$2:$M$2</c:f>
              <c:numCache>
                <c:formatCode>General</c:formatCode>
                <c:ptCount val="6"/>
                <c:pt idx="0">
                  <c:v>2023</c:v>
                </c:pt>
                <c:pt idx="1">
                  <c:v>2024</c:v>
                </c:pt>
                <c:pt idx="2">
                  <c:v>2025</c:v>
                </c:pt>
                <c:pt idx="3">
                  <c:v>2026</c:v>
                </c:pt>
                <c:pt idx="4">
                  <c:v>2027</c:v>
                </c:pt>
                <c:pt idx="5">
                  <c:v>2028</c:v>
                </c:pt>
              </c:numCache>
            </c:numRef>
          </c:cat>
          <c:val>
            <c:numRef>
              <c:f>Master!$H$405:$M$405</c:f>
              <c:numCache>
                <c:formatCode>0%</c:formatCode>
                <c:ptCount val="6"/>
                <c:pt idx="0">
                  <c:v>1.9894417456280962E-2</c:v>
                </c:pt>
                <c:pt idx="1">
                  <c:v>0</c:v>
                </c:pt>
                <c:pt idx="2">
                  <c:v>0</c:v>
                </c:pt>
                <c:pt idx="3">
                  <c:v>-1.5405156484584012E-3</c:v>
                </c:pt>
                <c:pt idx="4">
                  <c:v>-1.3332762429273564E-3</c:v>
                </c:pt>
                <c:pt idx="5">
                  <c:v>-1.1604398491651172E-3</c:v>
                </c:pt>
              </c:numCache>
            </c:numRef>
          </c:val>
          <c:extLst>
            <c:ext xmlns:c16="http://schemas.microsoft.com/office/drawing/2014/chart" uri="{C3380CC4-5D6E-409C-BE32-E72D297353CC}">
              <c16:uniqueId val="{00000008-35DE-497D-8E16-23AF8EEF21E7}"/>
            </c:ext>
          </c:extLst>
        </c:ser>
        <c:dLbls>
          <c:showLegendKey val="0"/>
          <c:showVal val="0"/>
          <c:showCatName val="0"/>
          <c:showSerName val="0"/>
          <c:showPercent val="0"/>
          <c:showBubbleSize val="0"/>
        </c:dLbls>
        <c:gapWidth val="150"/>
        <c:overlap val="100"/>
        <c:axId val="891075615"/>
        <c:axId val="891079455"/>
      </c:barChart>
      <c:lineChart>
        <c:grouping val="standard"/>
        <c:varyColors val="0"/>
        <c:ser>
          <c:idx val="9"/>
          <c:order val="9"/>
          <c:tx>
            <c:strRef>
              <c:f>Master!$B$406</c:f>
              <c:strCache>
                <c:ptCount val="1"/>
                <c:pt idx="0">
                  <c:v>Total</c:v>
                </c:pt>
              </c:strCache>
            </c:strRef>
          </c:tx>
          <c:spPr>
            <a:ln w="28575" cap="rnd">
              <a:noFill/>
              <a:round/>
            </a:ln>
            <a:effectLst/>
          </c:spPr>
          <c:marker>
            <c:symbol val="square"/>
            <c:size val="7"/>
            <c:spPr>
              <a:solidFill>
                <a:schemeClr val="accent4">
                  <a:lumMod val="60000"/>
                  <a:lumOff val="40000"/>
                </a:schemeClr>
              </a:solidFill>
              <a:ln w="9525">
                <a:solidFill>
                  <a:schemeClr val="accent4">
                    <a:lumMod val="60000"/>
                  </a:schemeClr>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Roboto" panose="02000000000000000000" pitchFamily="2" charset="0"/>
                    <a:ea typeface="Roboto" panose="02000000000000000000" pitchFamily="2" charset="0"/>
                    <a:cs typeface="Roboto" panose="02000000000000000000" pitchFamily="2" charset="0"/>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Master!$H$2:$M$2</c:f>
              <c:numCache>
                <c:formatCode>General</c:formatCode>
                <c:ptCount val="6"/>
                <c:pt idx="0">
                  <c:v>2023</c:v>
                </c:pt>
                <c:pt idx="1">
                  <c:v>2024</c:v>
                </c:pt>
                <c:pt idx="2">
                  <c:v>2025</c:v>
                </c:pt>
                <c:pt idx="3">
                  <c:v>2026</c:v>
                </c:pt>
                <c:pt idx="4">
                  <c:v>2027</c:v>
                </c:pt>
                <c:pt idx="5">
                  <c:v>2028</c:v>
                </c:pt>
              </c:numCache>
            </c:numRef>
          </c:cat>
          <c:val>
            <c:numRef>
              <c:f>Master!$H$406:$M$406</c:f>
              <c:numCache>
                <c:formatCode>0%</c:formatCode>
                <c:ptCount val="6"/>
                <c:pt idx="0">
                  <c:v>0.33232800541379404</c:v>
                </c:pt>
                <c:pt idx="1">
                  <c:v>0.20925879817174353</c:v>
                </c:pt>
                <c:pt idx="2">
                  <c:v>0.15812488911000644</c:v>
                </c:pt>
                <c:pt idx="3">
                  <c:v>0.13232748539380879</c:v>
                </c:pt>
                <c:pt idx="4">
                  <c:v>0.12596160758254915</c:v>
                </c:pt>
                <c:pt idx="5">
                  <c:v>0.11949243466266224</c:v>
                </c:pt>
              </c:numCache>
            </c:numRef>
          </c:val>
          <c:smooth val="0"/>
          <c:extLst>
            <c:ext xmlns:c16="http://schemas.microsoft.com/office/drawing/2014/chart" uri="{C3380CC4-5D6E-409C-BE32-E72D297353CC}">
              <c16:uniqueId val="{00000009-35DE-497D-8E16-23AF8EEF21E7}"/>
            </c:ext>
          </c:extLst>
        </c:ser>
        <c:dLbls>
          <c:showLegendKey val="0"/>
          <c:showVal val="0"/>
          <c:showCatName val="0"/>
          <c:showSerName val="0"/>
          <c:showPercent val="0"/>
          <c:showBubbleSize val="0"/>
        </c:dLbls>
        <c:marker val="1"/>
        <c:smooth val="0"/>
        <c:axId val="1837434703"/>
        <c:axId val="1837431823"/>
      </c:lineChart>
      <c:catAx>
        <c:axId val="8910756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Roboto" panose="02000000000000000000" pitchFamily="2" charset="0"/>
                <a:ea typeface="Roboto" panose="02000000000000000000" pitchFamily="2" charset="0"/>
                <a:cs typeface="Roboto" panose="02000000000000000000" pitchFamily="2" charset="0"/>
              </a:defRPr>
            </a:pPr>
            <a:endParaRPr lang="en-US"/>
          </a:p>
        </c:txPr>
        <c:crossAx val="891079455"/>
        <c:crosses val="autoZero"/>
        <c:auto val="1"/>
        <c:lblAlgn val="ctr"/>
        <c:lblOffset val="100"/>
        <c:noMultiLvlLbl val="0"/>
      </c:catAx>
      <c:valAx>
        <c:axId val="89107945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Roboto" panose="02000000000000000000" pitchFamily="2" charset="0"/>
                <a:ea typeface="Roboto" panose="02000000000000000000" pitchFamily="2" charset="0"/>
                <a:cs typeface="Roboto" panose="02000000000000000000" pitchFamily="2" charset="0"/>
              </a:defRPr>
            </a:pPr>
            <a:endParaRPr lang="en-US"/>
          </a:p>
        </c:txPr>
        <c:crossAx val="891075615"/>
        <c:crosses val="autoZero"/>
        <c:crossBetween val="between"/>
      </c:valAx>
      <c:valAx>
        <c:axId val="1837431823"/>
        <c:scaling>
          <c:orientation val="minMax"/>
          <c:max val="0.35000000000000003"/>
          <c:min val="-5.000000000000001E-2"/>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Roboto" panose="02000000000000000000" pitchFamily="2" charset="0"/>
                <a:ea typeface="Roboto" panose="02000000000000000000" pitchFamily="2" charset="0"/>
                <a:cs typeface="Roboto" panose="02000000000000000000" pitchFamily="2" charset="0"/>
              </a:defRPr>
            </a:pPr>
            <a:endParaRPr lang="en-US"/>
          </a:p>
        </c:txPr>
        <c:crossAx val="1837434703"/>
        <c:crosses val="max"/>
        <c:crossBetween val="between"/>
      </c:valAx>
      <c:catAx>
        <c:axId val="1837434703"/>
        <c:scaling>
          <c:orientation val="minMax"/>
        </c:scaling>
        <c:delete val="1"/>
        <c:axPos val="b"/>
        <c:numFmt formatCode="General" sourceLinked="1"/>
        <c:majorTickMark val="out"/>
        <c:minorTickMark val="none"/>
        <c:tickLblPos val="nextTo"/>
        <c:crossAx val="1837431823"/>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Roboto" panose="02000000000000000000" pitchFamily="2" charset="0"/>
              <a:ea typeface="Roboto" panose="02000000000000000000" pitchFamily="2" charset="0"/>
              <a:cs typeface="Roboto" panose="02000000000000000000" pitchFamily="2"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200">
          <a:latin typeface="Roboto" panose="02000000000000000000" pitchFamily="2" charset="0"/>
          <a:ea typeface="Roboto" panose="02000000000000000000" pitchFamily="2" charset="0"/>
          <a:cs typeface="Roboto" panose="02000000000000000000" pitchFamily="2" charset="0"/>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8740462106307617E-2"/>
          <c:y val="5.1511077647142113E-2"/>
          <c:w val="0.94251907578738481"/>
          <c:h val="0.81617341164803836"/>
        </c:manualLayout>
      </c:layout>
      <c:barChart>
        <c:barDir val="col"/>
        <c:grouping val="clustered"/>
        <c:varyColors val="0"/>
        <c:ser>
          <c:idx val="0"/>
          <c:order val="0"/>
          <c:spPr>
            <a:solidFill>
              <a:schemeClr val="accent4">
                <a:lumMod val="60000"/>
                <a:lumOff val="40000"/>
              </a:schemeClr>
            </a:solidFill>
            <a:ln>
              <a:noFill/>
            </a:ln>
            <a:effectLst/>
            <a:extLst>
              <a:ext uri="{91240B29-F687-4F45-9708-019B960494DF}">
                <a14:hiddenLine xmlns:a14="http://schemas.microsoft.com/office/drawing/2010/main">
                  <a:noFill/>
                </a14:hiddenLine>
              </a:ext>
            </a:ex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595959"/>
                    </a:solidFill>
                    <a:latin typeface="Helvetica Neue"/>
                    <a:ea typeface="Helvetica Neue"/>
                    <a:cs typeface="Helvetica Neue"/>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Analysis!$C$224:$J$224</c:f>
              <c:strCache>
                <c:ptCount val="8"/>
                <c:pt idx="0">
                  <c:v>Q1 23</c:v>
                </c:pt>
                <c:pt idx="1">
                  <c:v>Q2 23</c:v>
                </c:pt>
                <c:pt idx="2">
                  <c:v>Q3 23</c:v>
                </c:pt>
                <c:pt idx="3">
                  <c:v>Q4 23</c:v>
                </c:pt>
                <c:pt idx="4">
                  <c:v>Q1 24</c:v>
                </c:pt>
                <c:pt idx="5">
                  <c:v>Q2 24</c:v>
                </c:pt>
                <c:pt idx="6">
                  <c:v>Q3 24e</c:v>
                </c:pt>
                <c:pt idx="7">
                  <c:v>Q4 24e</c:v>
                </c:pt>
              </c:strCache>
            </c:strRef>
          </c:cat>
          <c:val>
            <c:numRef>
              <c:f>Analysis!$C$225:$J$225</c:f>
              <c:numCache>
                <c:formatCode>0%</c:formatCode>
                <c:ptCount val="8"/>
                <c:pt idx="0">
                  <c:v>0.24408658599147204</c:v>
                </c:pt>
                <c:pt idx="1">
                  <c:v>0.17004395765063363</c:v>
                </c:pt>
                <c:pt idx="2">
                  <c:v>0.17836606680990963</c:v>
                </c:pt>
                <c:pt idx="3">
                  <c:v>8.7800720896848317E-2</c:v>
                </c:pt>
                <c:pt idx="4">
                  <c:v>4.0032820192232421E-2</c:v>
                </c:pt>
                <c:pt idx="5">
                  <c:v>-3.390195164408194E-3</c:v>
                </c:pt>
                <c:pt idx="6">
                  <c:v>5.5342635120579908E-2</c:v>
                </c:pt>
                <c:pt idx="7">
                  <c:v>7.4599885267257138E-2</c:v>
                </c:pt>
              </c:numCache>
            </c:numRef>
          </c:val>
          <c:extLst>
            <c:ext xmlns:c16="http://schemas.microsoft.com/office/drawing/2014/chart" uri="{C3380CC4-5D6E-409C-BE32-E72D297353CC}">
              <c16:uniqueId val="{00000000-3E06-430A-B047-5DC07A024E6C}"/>
            </c:ext>
          </c:extLst>
        </c:ser>
        <c:dLbls>
          <c:showLegendKey val="0"/>
          <c:showVal val="0"/>
          <c:showCatName val="0"/>
          <c:showSerName val="0"/>
          <c:showPercent val="0"/>
          <c:showBubbleSize val="0"/>
        </c:dLbls>
        <c:gapWidth val="30"/>
        <c:overlap val="-27"/>
        <c:axId val="1466766095"/>
        <c:axId val="1466757455"/>
      </c:barChart>
      <c:catAx>
        <c:axId val="1466766095"/>
        <c:scaling>
          <c:orientation val="minMax"/>
        </c:scaling>
        <c:delete val="0"/>
        <c:axPos val="b"/>
        <c:numFmt formatCode="General" sourceLinked="1"/>
        <c:majorTickMark val="out"/>
        <c:minorTickMark val="none"/>
        <c:tickLblPos val="low"/>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1466757455"/>
        <c:crosses val="autoZero"/>
        <c:auto val="1"/>
        <c:lblAlgn val="ctr"/>
        <c:lblOffset val="100"/>
        <c:noMultiLvlLbl val="0"/>
      </c:catAx>
      <c:valAx>
        <c:axId val="1466757455"/>
        <c:scaling>
          <c:orientation val="minMax"/>
        </c:scaling>
        <c:delete val="1"/>
        <c:axPos val="l"/>
        <c:numFmt formatCode="0%" sourceLinked="1"/>
        <c:majorTickMark val="out"/>
        <c:minorTickMark val="none"/>
        <c:tickLblPos val="nextTo"/>
        <c:crossAx val="1466766095"/>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6">
                <a:lumMod val="60000"/>
                <a:lumOff val="40000"/>
              </a:schemeClr>
            </a:solidFill>
            <a:ln>
              <a:noFill/>
            </a:ln>
            <a:effectLst/>
            <a:extLst>
              <a:ext uri="{91240B29-F687-4F45-9708-019B960494DF}">
                <a14:hiddenLine xmlns:a14="http://schemas.microsoft.com/office/drawing/2010/main">
                  <a:noFill/>
                </a14:hiddenLine>
              </a:ext>
            </a:ex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595959"/>
                    </a:solidFill>
                    <a:latin typeface="Helvetica Neue"/>
                    <a:ea typeface="Helvetica Neue"/>
                    <a:cs typeface="Helvetica Neue"/>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Analysis!$C$227:$N$227</c:f>
              <c:strCache>
                <c:ptCount val="12"/>
                <c:pt idx="0">
                  <c:v>Q1 22</c:v>
                </c:pt>
                <c:pt idx="1">
                  <c:v>Q2 22</c:v>
                </c:pt>
                <c:pt idx="2">
                  <c:v>Q3 22</c:v>
                </c:pt>
                <c:pt idx="3">
                  <c:v>Q4 22</c:v>
                </c:pt>
                <c:pt idx="4">
                  <c:v>Q1 23</c:v>
                </c:pt>
                <c:pt idx="5">
                  <c:v>Q2 23</c:v>
                </c:pt>
                <c:pt idx="6">
                  <c:v>Q3 23</c:v>
                </c:pt>
                <c:pt idx="7">
                  <c:v>Q4 23</c:v>
                </c:pt>
                <c:pt idx="8">
                  <c:v>Q1 24</c:v>
                </c:pt>
                <c:pt idx="9">
                  <c:v>Q2 24</c:v>
                </c:pt>
                <c:pt idx="10">
                  <c:v>Q3 24e</c:v>
                </c:pt>
                <c:pt idx="11">
                  <c:v>Q4 24e</c:v>
                </c:pt>
              </c:strCache>
            </c:strRef>
          </c:cat>
          <c:val>
            <c:numRef>
              <c:f>Analysis!$C$228:$N$228</c:f>
              <c:numCache>
                <c:formatCode>0%</c:formatCode>
                <c:ptCount val="12"/>
                <c:pt idx="0">
                  <c:v>-3.2629579292024459E-2</c:v>
                </c:pt>
                <c:pt idx="1">
                  <c:v>-7.0395768238380896E-2</c:v>
                </c:pt>
                <c:pt idx="2">
                  <c:v>2.052659421385767E-2</c:v>
                </c:pt>
                <c:pt idx="3">
                  <c:v>-1.9192926132171221E-2</c:v>
                </c:pt>
                <c:pt idx="4">
                  <c:v>2.9729660372428527E-2</c:v>
                </c:pt>
                <c:pt idx="5">
                  <c:v>1.366431934820248E-2</c:v>
                </c:pt>
                <c:pt idx="6">
                  <c:v>4.7274907042538401E-2</c:v>
                </c:pt>
                <c:pt idx="7">
                  <c:v>9.138779080558726E-2</c:v>
                </c:pt>
                <c:pt idx="8">
                  <c:v>0.17391678002055888</c:v>
                </c:pt>
                <c:pt idx="9">
                  <c:v>0.17869781685978831</c:v>
                </c:pt>
                <c:pt idx="10">
                  <c:v>0.14740050998851503</c:v>
                </c:pt>
                <c:pt idx="11">
                  <c:v>0.15134116332413985</c:v>
                </c:pt>
              </c:numCache>
            </c:numRef>
          </c:val>
          <c:extLst>
            <c:ext xmlns:c16="http://schemas.microsoft.com/office/drawing/2014/chart" uri="{C3380CC4-5D6E-409C-BE32-E72D297353CC}">
              <c16:uniqueId val="{00000000-E248-4389-8A1E-3D79A4AC59E8}"/>
            </c:ext>
          </c:extLst>
        </c:ser>
        <c:dLbls>
          <c:showLegendKey val="0"/>
          <c:showVal val="0"/>
          <c:showCatName val="0"/>
          <c:showSerName val="0"/>
          <c:showPercent val="0"/>
          <c:showBubbleSize val="0"/>
        </c:dLbls>
        <c:gapWidth val="30"/>
        <c:overlap val="-27"/>
        <c:axId val="404523727"/>
        <c:axId val="404529487"/>
      </c:barChart>
      <c:catAx>
        <c:axId val="404523727"/>
        <c:scaling>
          <c:orientation val="minMax"/>
        </c:scaling>
        <c:delete val="0"/>
        <c:axPos val="b"/>
        <c:numFmt formatCode="General" sourceLinked="1"/>
        <c:majorTickMark val="out"/>
        <c:minorTickMark val="none"/>
        <c:tickLblPos val="low"/>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404529487"/>
        <c:crosses val="autoZero"/>
        <c:auto val="1"/>
        <c:lblAlgn val="ctr"/>
        <c:lblOffset val="100"/>
        <c:noMultiLvlLbl val="0"/>
      </c:catAx>
      <c:valAx>
        <c:axId val="404529487"/>
        <c:scaling>
          <c:orientation val="minMax"/>
        </c:scaling>
        <c:delete val="1"/>
        <c:axPos val="l"/>
        <c:numFmt formatCode="0%" sourceLinked="1"/>
        <c:majorTickMark val="out"/>
        <c:minorTickMark val="none"/>
        <c:tickLblPos val="nextTo"/>
        <c:crossAx val="404523727"/>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Analysis!$B$282</c:f>
              <c:strCache>
                <c:ptCount val="1"/>
                <c:pt idx="0">
                  <c:v>Cash App</c:v>
                </c:pt>
              </c:strCache>
            </c:strRef>
          </c:tx>
          <c:spPr>
            <a:solidFill>
              <a:schemeClr val="accent6">
                <a:lumMod val="60000"/>
                <a:lumOff val="40000"/>
              </a:schemeClr>
            </a:solidFill>
            <a:ln>
              <a:noFill/>
            </a:ln>
            <a:effectLst/>
            <a:extLst>
              <a:ext uri="{91240B29-F687-4F45-9708-019B960494DF}">
                <a14:hiddenLine xmlns:a14="http://schemas.microsoft.com/office/drawing/2010/main">
                  <a:noFill/>
                </a14:hiddenLine>
              </a:ext>
            </a:ex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FFFFFF"/>
                    </a:solidFill>
                    <a:latin typeface="Helvetica Neue"/>
                    <a:ea typeface="Helvetica Neue"/>
                    <a:cs typeface="Helvetica Neue"/>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Analysis!$C$280:$L$280</c:f>
              <c:strCache>
                <c:ptCount val="10"/>
                <c:pt idx="0">
                  <c:v>Q1 22</c:v>
                </c:pt>
                <c:pt idx="1">
                  <c:v>Q2 22</c:v>
                </c:pt>
                <c:pt idx="2">
                  <c:v>Q3 22</c:v>
                </c:pt>
                <c:pt idx="3">
                  <c:v>Q4 22</c:v>
                </c:pt>
                <c:pt idx="4">
                  <c:v>Q1 23</c:v>
                </c:pt>
                <c:pt idx="5">
                  <c:v>Q2 23</c:v>
                </c:pt>
                <c:pt idx="6">
                  <c:v>Q3 23</c:v>
                </c:pt>
                <c:pt idx="7">
                  <c:v>Q4 23</c:v>
                </c:pt>
                <c:pt idx="8">
                  <c:v>Q1 24</c:v>
                </c:pt>
                <c:pt idx="9">
                  <c:v>Q2 24</c:v>
                </c:pt>
              </c:strCache>
            </c:strRef>
          </c:cat>
          <c:val>
            <c:numRef>
              <c:f>Analysis!$C$282:$L$282</c:f>
              <c:numCache>
                <c:formatCode>0%</c:formatCode>
                <c:ptCount val="10"/>
                <c:pt idx="0">
                  <c:v>0.18501434032856176</c:v>
                </c:pt>
                <c:pt idx="1">
                  <c:v>0.30430124272765208</c:v>
                </c:pt>
                <c:pt idx="2">
                  <c:v>0.51340623222694137</c:v>
                </c:pt>
                <c:pt idx="3">
                  <c:v>0.74223764030834161</c:v>
                </c:pt>
                <c:pt idx="4">
                  <c:v>0.41166818358905033</c:v>
                </c:pt>
                <c:pt idx="5">
                  <c:v>0.24033721443469783</c:v>
                </c:pt>
                <c:pt idx="6">
                  <c:v>0.18496049339902779</c:v>
                </c:pt>
                <c:pt idx="7">
                  <c:v>0.16313782661811962</c:v>
                </c:pt>
                <c:pt idx="8">
                  <c:v>0.16104587139440815</c:v>
                </c:pt>
                <c:pt idx="9">
                  <c:v>0.15737879855233894</c:v>
                </c:pt>
              </c:numCache>
            </c:numRef>
          </c:val>
          <c:extLst>
            <c:ext xmlns:c16="http://schemas.microsoft.com/office/drawing/2014/chart" uri="{C3380CC4-5D6E-409C-BE32-E72D297353CC}">
              <c16:uniqueId val="{00000000-0641-4AE7-BB7C-A9A0AFFC59CB}"/>
            </c:ext>
          </c:extLst>
        </c:ser>
        <c:ser>
          <c:idx val="1"/>
          <c:order val="1"/>
          <c:tx>
            <c:strRef>
              <c:f>Analysis!$B$283</c:f>
              <c:strCache>
                <c:ptCount val="1"/>
                <c:pt idx="0">
                  <c:v>Square</c:v>
                </c:pt>
              </c:strCache>
            </c:strRef>
          </c:tx>
          <c:spPr>
            <a:solidFill>
              <a:schemeClr val="accent4">
                <a:lumMod val="60000"/>
                <a:lumOff val="40000"/>
              </a:schemeClr>
            </a:solidFill>
            <a:ln>
              <a:noFill/>
            </a:ln>
            <a:effectLst/>
            <a:extLst>
              <a:ext uri="{91240B29-F687-4F45-9708-019B960494DF}">
                <a14:hiddenLine xmlns:a14="http://schemas.microsoft.com/office/drawing/2010/main">
                  <a:noFill/>
                </a14:hiddenLine>
              </a:ext>
            </a:ex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FFFFFF"/>
                    </a:solidFill>
                    <a:latin typeface="Helvetica Neue"/>
                    <a:ea typeface="Helvetica Neue"/>
                    <a:cs typeface="Helvetica Neue"/>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Analysis!$C$280:$L$280</c:f>
              <c:strCache>
                <c:ptCount val="10"/>
                <c:pt idx="0">
                  <c:v>Q1 22</c:v>
                </c:pt>
                <c:pt idx="1">
                  <c:v>Q2 22</c:v>
                </c:pt>
                <c:pt idx="2">
                  <c:v>Q3 22</c:v>
                </c:pt>
                <c:pt idx="3">
                  <c:v>Q4 22</c:v>
                </c:pt>
                <c:pt idx="4">
                  <c:v>Q1 23</c:v>
                </c:pt>
                <c:pt idx="5">
                  <c:v>Q2 23</c:v>
                </c:pt>
                <c:pt idx="6">
                  <c:v>Q3 23</c:v>
                </c:pt>
                <c:pt idx="7">
                  <c:v>Q4 23</c:v>
                </c:pt>
                <c:pt idx="8">
                  <c:v>Q1 24</c:v>
                </c:pt>
                <c:pt idx="9">
                  <c:v>Q2 24</c:v>
                </c:pt>
              </c:strCache>
            </c:strRef>
          </c:cat>
          <c:val>
            <c:numRef>
              <c:f>Analysis!$C$283:$L$283</c:f>
              <c:numCache>
                <c:formatCode>0%</c:formatCode>
                <c:ptCount val="10"/>
                <c:pt idx="0">
                  <c:v>0.16679146610351994</c:v>
                </c:pt>
                <c:pt idx="1">
                  <c:v>0.1236132637396688</c:v>
                </c:pt>
                <c:pt idx="2">
                  <c:v>0.14637184780182466</c:v>
                </c:pt>
                <c:pt idx="3">
                  <c:v>8.5820312561963985E-2</c:v>
                </c:pt>
                <c:pt idx="4">
                  <c:v>9.6177074581491828E-2</c:v>
                </c:pt>
                <c:pt idx="5">
                  <c:v>0.10923577166153972</c:v>
                </c:pt>
                <c:pt idx="6">
                  <c:v>8.3666726720241863E-2</c:v>
                </c:pt>
                <c:pt idx="7">
                  <c:v>8.7915344520869326E-2</c:v>
                </c:pt>
                <c:pt idx="8">
                  <c:v>8.5077219360220419E-2</c:v>
                </c:pt>
                <c:pt idx="9">
                  <c:v>7.7024428710237069E-2</c:v>
                </c:pt>
              </c:numCache>
            </c:numRef>
          </c:val>
          <c:extLst>
            <c:ext xmlns:c16="http://schemas.microsoft.com/office/drawing/2014/chart" uri="{C3380CC4-5D6E-409C-BE32-E72D297353CC}">
              <c16:uniqueId val="{00000001-0641-4AE7-BB7C-A9A0AFFC59CB}"/>
            </c:ext>
          </c:extLst>
        </c:ser>
        <c:dLbls>
          <c:showLegendKey val="0"/>
          <c:showVal val="0"/>
          <c:showCatName val="0"/>
          <c:showSerName val="0"/>
          <c:showPercent val="0"/>
          <c:showBubbleSize val="0"/>
        </c:dLbls>
        <c:gapWidth val="30"/>
        <c:overlap val="100"/>
        <c:axId val="558489263"/>
        <c:axId val="558490223"/>
      </c:barChart>
      <c:catAx>
        <c:axId val="558489263"/>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558490223"/>
        <c:crosses val="autoZero"/>
        <c:auto val="1"/>
        <c:lblAlgn val="ctr"/>
        <c:lblOffset val="100"/>
        <c:noMultiLvlLbl val="0"/>
      </c:catAx>
      <c:valAx>
        <c:axId val="558490223"/>
        <c:scaling>
          <c:orientation val="minMax"/>
        </c:scaling>
        <c:delete val="1"/>
        <c:axPos val="l"/>
        <c:numFmt formatCode="0%" sourceLinked="1"/>
        <c:majorTickMark val="out"/>
        <c:minorTickMark val="none"/>
        <c:tickLblPos val="nextTo"/>
        <c:crossAx val="558489263"/>
        <c:crosses val="autoZero"/>
        <c:crossBetween val="between"/>
      </c:val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6">
                  <a:lumMod val="20000"/>
                  <a:lumOff val="80000"/>
                </a:schemeClr>
              </a:solidFill>
              <a:ln w="25400">
                <a:noFill/>
              </a:ln>
              <a:effectLst/>
            </c:spPr>
            <c:extLst>
              <c:ext xmlns:c16="http://schemas.microsoft.com/office/drawing/2014/chart" uri="{C3380CC4-5D6E-409C-BE32-E72D297353CC}">
                <c16:uniqueId val="{00000001-1ECB-46F3-A88B-280A0D835F15}"/>
              </c:ext>
            </c:extLst>
          </c:dPt>
          <c:dPt>
            <c:idx val="1"/>
            <c:bubble3D val="0"/>
            <c:spPr>
              <a:solidFill>
                <a:schemeClr val="bg1">
                  <a:lumMod val="75000"/>
                </a:schemeClr>
              </a:solidFill>
              <a:ln w="25400">
                <a:noFill/>
              </a:ln>
              <a:effectLst/>
            </c:spPr>
            <c:extLst>
              <c:ext xmlns:c16="http://schemas.microsoft.com/office/drawing/2014/chart" uri="{C3380CC4-5D6E-409C-BE32-E72D297353CC}">
                <c16:uniqueId val="{00000002-1ECB-46F3-A88B-280A0D835F15}"/>
              </c:ext>
            </c:extLst>
          </c:dPt>
          <c:dPt>
            <c:idx val="2"/>
            <c:bubble3D val="0"/>
            <c:explosion val="6"/>
            <c:spPr>
              <a:solidFill>
                <a:schemeClr val="accent4">
                  <a:lumMod val="60000"/>
                  <a:lumOff val="40000"/>
                </a:schemeClr>
              </a:solidFill>
              <a:ln w="25400">
                <a:noFill/>
              </a:ln>
              <a:effectLst/>
            </c:spPr>
            <c:extLst>
              <c:ext xmlns:c16="http://schemas.microsoft.com/office/drawing/2014/chart" uri="{C3380CC4-5D6E-409C-BE32-E72D297353CC}">
                <c16:uniqueId val="{00000003-1ECB-46F3-A88B-280A0D835F15}"/>
              </c:ext>
            </c:extLst>
          </c:dPt>
          <c:dPt>
            <c:idx val="3"/>
            <c:bubble3D val="0"/>
            <c:spPr>
              <a:solidFill>
                <a:schemeClr val="accent6">
                  <a:lumMod val="60000"/>
                  <a:lumOff val="40000"/>
                </a:schemeClr>
              </a:solidFill>
              <a:ln w="25400">
                <a:noFill/>
              </a:ln>
              <a:effectLst/>
            </c:spPr>
            <c:extLst>
              <c:ext xmlns:c16="http://schemas.microsoft.com/office/drawing/2014/chart" uri="{C3380CC4-5D6E-409C-BE32-E72D297353CC}">
                <c16:uniqueId val="{00000004-1ECB-46F3-A88B-280A0D835F15}"/>
              </c:ext>
            </c:extLst>
          </c:dPt>
          <c:dPt>
            <c:idx val="4"/>
            <c:bubble3D val="0"/>
            <c:spPr>
              <a:solidFill>
                <a:schemeClr val="accent4">
                  <a:lumMod val="20000"/>
                  <a:lumOff val="80000"/>
                </a:schemeClr>
              </a:solidFill>
              <a:ln w="25400">
                <a:noFill/>
              </a:ln>
              <a:effectLst/>
            </c:spPr>
            <c:extLst>
              <c:ext xmlns:c16="http://schemas.microsoft.com/office/drawing/2014/chart" uri="{C3380CC4-5D6E-409C-BE32-E72D297353CC}">
                <c16:uniqueId val="{00000005-1ECB-46F3-A88B-280A0D835F15}"/>
              </c:ext>
            </c:extLst>
          </c:dPt>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Helvetica Neue"/>
                    <a:ea typeface="Helvetica Neue"/>
                    <a:cs typeface="Helvetica Neue"/>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Analysis!$B$295:$B$299</c:f>
              <c:strCache>
                <c:ptCount val="5"/>
                <c:pt idx="0">
                  <c:v>BNPL</c:v>
                </c:pt>
                <c:pt idx="1">
                  <c:v>Bitcoin</c:v>
                </c:pt>
                <c:pt idx="2">
                  <c:v>Fin services</c:v>
                </c:pt>
                <c:pt idx="3">
                  <c:v>Instant deposits</c:v>
                </c:pt>
                <c:pt idx="4">
                  <c:v>Other community / P2P *</c:v>
                </c:pt>
              </c:strCache>
            </c:strRef>
          </c:cat>
          <c:val>
            <c:numRef>
              <c:f>Analysis!$C$295:$C$299</c:f>
              <c:numCache>
                <c:formatCode>#,##0</c:formatCode>
                <c:ptCount val="5"/>
                <c:pt idx="0">
                  <c:v>755.17099999999937</c:v>
                </c:pt>
                <c:pt idx="1">
                  <c:v>205.18900000000031</c:v>
                </c:pt>
                <c:pt idx="2">
                  <c:v>1642.9159399999999</c:v>
                </c:pt>
                <c:pt idx="3">
                  <c:v>1253.8042699999999</c:v>
                </c:pt>
                <c:pt idx="4">
                  <c:v>466.38279000000034</c:v>
                </c:pt>
              </c:numCache>
            </c:numRef>
          </c:val>
          <c:extLst>
            <c:ext xmlns:c16="http://schemas.microsoft.com/office/drawing/2014/chart" uri="{C3380CC4-5D6E-409C-BE32-E72D297353CC}">
              <c16:uniqueId val="{00000000-1ECB-46F3-A88B-280A0D835F15}"/>
            </c:ext>
          </c:extLst>
        </c:ser>
        <c:dLbls>
          <c:showLegendKey val="0"/>
          <c:showVal val="0"/>
          <c:showCatName val="0"/>
          <c:showSerName val="0"/>
          <c:showPercent val="0"/>
          <c:showBubbleSize val="0"/>
          <c:showLeaderLines val="1"/>
        </c:dLbls>
        <c:firstSliceAng val="0"/>
      </c:pieChart>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4">
                  <a:lumMod val="40000"/>
                  <a:lumOff val="60000"/>
                </a:schemeClr>
              </a:solidFill>
              <a:ln w="25400">
                <a:noFill/>
              </a:ln>
              <a:effectLst/>
            </c:spPr>
            <c:extLst>
              <c:ext xmlns:c16="http://schemas.microsoft.com/office/drawing/2014/chart" uri="{C3380CC4-5D6E-409C-BE32-E72D297353CC}">
                <c16:uniqueId val="{00000001-9416-419F-8BC7-B7511B997F06}"/>
              </c:ext>
            </c:extLst>
          </c:dPt>
          <c:dPt>
            <c:idx val="1"/>
            <c:bubble3D val="0"/>
            <c:spPr>
              <a:solidFill>
                <a:schemeClr val="accent3">
                  <a:lumMod val="60000"/>
                  <a:lumOff val="40000"/>
                </a:schemeClr>
              </a:solidFill>
              <a:ln w="19050">
                <a:solidFill>
                  <a:schemeClr val="lt1"/>
                </a:solidFill>
              </a:ln>
              <a:effectLst/>
            </c:spPr>
            <c:extLst>
              <c:ext xmlns:c16="http://schemas.microsoft.com/office/drawing/2014/chart" uri="{C3380CC4-5D6E-409C-BE32-E72D297353CC}">
                <c16:uniqueId val="{00000003-9416-419F-8BC7-B7511B997F06}"/>
              </c:ext>
            </c:extLst>
          </c:dPt>
          <c:dPt>
            <c:idx val="2"/>
            <c:bubble3D val="0"/>
            <c:spPr>
              <a:solidFill>
                <a:schemeClr val="accent3">
                  <a:lumMod val="20000"/>
                  <a:lumOff val="80000"/>
                </a:schemeClr>
              </a:solidFill>
              <a:ln w="25400">
                <a:noFill/>
              </a:ln>
              <a:effectLst/>
            </c:spPr>
            <c:extLst>
              <c:ext xmlns:c16="http://schemas.microsoft.com/office/drawing/2014/chart" uri="{C3380CC4-5D6E-409C-BE32-E72D297353CC}">
                <c16:uniqueId val="{00000005-9416-419F-8BC7-B7511B997F06}"/>
              </c:ext>
            </c:extLst>
          </c:dPt>
          <c:dPt>
            <c:idx val="3"/>
            <c:bubble3D val="0"/>
            <c:spPr>
              <a:solidFill>
                <a:schemeClr val="bg1">
                  <a:lumMod val="75000"/>
                </a:schemeClr>
              </a:solidFill>
              <a:ln w="25400">
                <a:noFill/>
              </a:ln>
              <a:effectLst/>
            </c:spPr>
            <c:extLst>
              <c:ext xmlns:c16="http://schemas.microsoft.com/office/drawing/2014/chart" uri="{C3380CC4-5D6E-409C-BE32-E72D297353CC}">
                <c16:uniqueId val="{00000007-9416-419F-8BC7-B7511B997F06}"/>
              </c:ext>
            </c:extLst>
          </c:dPt>
          <c:dPt>
            <c:idx val="4"/>
            <c:bubble3D val="0"/>
            <c:explosion val="11"/>
            <c:spPr>
              <a:solidFill>
                <a:schemeClr val="accent6">
                  <a:lumMod val="60000"/>
                  <a:lumOff val="40000"/>
                </a:schemeClr>
              </a:solidFill>
              <a:ln w="25400">
                <a:noFill/>
              </a:ln>
              <a:effectLst/>
            </c:spPr>
            <c:extLst>
              <c:ext xmlns:c16="http://schemas.microsoft.com/office/drawing/2014/chart" uri="{C3380CC4-5D6E-409C-BE32-E72D297353CC}">
                <c16:uniqueId val="{00000009-9416-419F-8BC7-B7511B997F06}"/>
              </c:ext>
            </c:extLst>
          </c:dPt>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Helvetica Neue"/>
                    <a:ea typeface="Helvetica Neue"/>
                    <a:cs typeface="Helvetica Neue"/>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Analysis!$B$302:$B$306</c:f>
              <c:strCache>
                <c:ptCount val="5"/>
                <c:pt idx="0">
                  <c:v>Interest on customer funds</c:v>
                </c:pt>
                <c:pt idx="1">
                  <c:v>Cash App Borrow</c:v>
                </c:pt>
                <c:pt idx="2">
                  <c:v>Cash App Pay</c:v>
                </c:pt>
                <c:pt idx="3">
                  <c:v>Other (ATM, Studio)</c:v>
                </c:pt>
                <c:pt idx="4">
                  <c:v>Card interchange</c:v>
                </c:pt>
              </c:strCache>
            </c:strRef>
          </c:cat>
          <c:val>
            <c:numRef>
              <c:f>Analysis!$C$302:$C$306</c:f>
              <c:numCache>
                <c:formatCode>0</c:formatCode>
                <c:ptCount val="5"/>
                <c:pt idx="0">
                  <c:v>132</c:v>
                </c:pt>
                <c:pt idx="1">
                  <c:v>199.24118814432993</c:v>
                </c:pt>
                <c:pt idx="2">
                  <c:v>20.783333333333335</c:v>
                </c:pt>
                <c:pt idx="3">
                  <c:v>42.891418522336608</c:v>
                </c:pt>
                <c:pt idx="4">
                  <c:v>1248</c:v>
                </c:pt>
              </c:numCache>
            </c:numRef>
          </c:val>
          <c:extLst>
            <c:ext xmlns:c16="http://schemas.microsoft.com/office/drawing/2014/chart" uri="{C3380CC4-5D6E-409C-BE32-E72D297353CC}">
              <c16:uniqueId val="{0000000A-9416-419F-8BC7-B7511B997F06}"/>
            </c:ext>
          </c:extLst>
        </c:ser>
        <c:dLbls>
          <c:showLegendKey val="0"/>
          <c:showVal val="0"/>
          <c:showCatName val="0"/>
          <c:showSerName val="0"/>
          <c:showPercent val="0"/>
          <c:showBubbleSize val="0"/>
          <c:showLeaderLines val="1"/>
        </c:dLbls>
        <c:firstSliceAng val="0"/>
      </c:pieChart>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4">
                <a:lumMod val="60000"/>
                <a:lumOff val="40000"/>
              </a:schemeClr>
            </a:solidFill>
            <a:ln>
              <a:noFill/>
            </a:ln>
            <a:effectLst/>
            <a:extLst>
              <a:ext uri="{91240B29-F687-4F45-9708-019B960494DF}">
                <a14:hiddenLine xmlns:a14="http://schemas.microsoft.com/office/drawing/2010/main">
                  <a:noFill/>
                </a14:hiddenLine>
              </a:ext>
            </a:ex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595959"/>
                    </a:solidFill>
                    <a:latin typeface="Helvetica Neue"/>
                    <a:ea typeface="Helvetica Neue"/>
                    <a:cs typeface="Helvetica Neue"/>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Analysis!$C$36:$G$36</c:f>
              <c:strCache>
                <c:ptCount val="5"/>
                <c:pt idx="0">
                  <c:v>Q2 23</c:v>
                </c:pt>
                <c:pt idx="1">
                  <c:v>Q3 23</c:v>
                </c:pt>
                <c:pt idx="2">
                  <c:v>Q4 23</c:v>
                </c:pt>
                <c:pt idx="3">
                  <c:v>Q1 24</c:v>
                </c:pt>
                <c:pt idx="4">
                  <c:v>Q2 24</c:v>
                </c:pt>
              </c:strCache>
            </c:strRef>
          </c:cat>
          <c:val>
            <c:numRef>
              <c:f>Analysis!$C$51:$G$51</c:f>
              <c:numCache>
                <c:formatCode>0.0%</c:formatCode>
                <c:ptCount val="5"/>
                <c:pt idx="0">
                  <c:v>1.2515718674239837E-3</c:v>
                </c:pt>
                <c:pt idx="1">
                  <c:v>2.4384830032694645E-3</c:v>
                </c:pt>
                <c:pt idx="2">
                  <c:v>4.8887820401194585E-3</c:v>
                </c:pt>
                <c:pt idx="3">
                  <c:v>7.4245244666966215E-3</c:v>
                </c:pt>
                <c:pt idx="4">
                  <c:v>1.0120833333333332E-2</c:v>
                </c:pt>
              </c:numCache>
            </c:numRef>
          </c:val>
          <c:extLst>
            <c:ext xmlns:c16="http://schemas.microsoft.com/office/drawing/2014/chart" uri="{C3380CC4-5D6E-409C-BE32-E72D297353CC}">
              <c16:uniqueId val="{00000000-BA64-4322-AEC4-325DE6194543}"/>
            </c:ext>
          </c:extLst>
        </c:ser>
        <c:dLbls>
          <c:showLegendKey val="0"/>
          <c:showVal val="0"/>
          <c:showCatName val="0"/>
          <c:showSerName val="0"/>
          <c:showPercent val="0"/>
          <c:showBubbleSize val="0"/>
        </c:dLbls>
        <c:gapWidth val="30"/>
        <c:overlap val="-27"/>
        <c:axId val="1871160383"/>
        <c:axId val="1871163263"/>
      </c:barChart>
      <c:catAx>
        <c:axId val="1871160383"/>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1871163263"/>
        <c:crosses val="autoZero"/>
        <c:auto val="1"/>
        <c:lblAlgn val="ctr"/>
        <c:lblOffset val="100"/>
        <c:noMultiLvlLbl val="0"/>
      </c:catAx>
      <c:valAx>
        <c:axId val="1871163263"/>
        <c:scaling>
          <c:orientation val="minMax"/>
        </c:scaling>
        <c:delete val="1"/>
        <c:axPos val="l"/>
        <c:numFmt formatCode="0.0%" sourceLinked="1"/>
        <c:majorTickMark val="out"/>
        <c:minorTickMark val="none"/>
        <c:tickLblPos val="nextTo"/>
        <c:crossAx val="187116038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spPr>
            <a:solidFill>
              <a:schemeClr val="accent4">
                <a:lumMod val="60000"/>
                <a:lumOff val="40000"/>
              </a:schemeClr>
            </a:solidFill>
            <a:ln>
              <a:noFill/>
            </a:ln>
            <a:effectLst/>
            <a:extLst>
              <a:ext uri="{91240B29-F687-4F45-9708-019B960494DF}">
                <a14:hiddenLine xmlns:a14="http://schemas.microsoft.com/office/drawing/2010/main">
                  <a:noFill/>
                </a14:hiddenLine>
              </a:ext>
            </a:ex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rgbClr val="FFFFFF"/>
                    </a:solidFill>
                    <a:latin typeface="Helvetica Neue"/>
                    <a:ea typeface="Helvetica Neue"/>
                    <a:cs typeface="Helvetica Neue"/>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Analysis!$B$312:$B$313</c:f>
              <c:strCache>
                <c:ptCount val="2"/>
                <c:pt idx="0">
                  <c:v>Cash App </c:v>
                </c:pt>
                <c:pt idx="1">
                  <c:v>Venmo</c:v>
                </c:pt>
              </c:strCache>
            </c:strRef>
          </c:cat>
          <c:val>
            <c:numRef>
              <c:f>Analysis!$C$312:$C$313</c:f>
              <c:numCache>
                <c:formatCode>General</c:formatCode>
                <c:ptCount val="2"/>
                <c:pt idx="0">
                  <c:v>57</c:v>
                </c:pt>
                <c:pt idx="1">
                  <c:v>60</c:v>
                </c:pt>
              </c:numCache>
            </c:numRef>
          </c:val>
          <c:extLst>
            <c:ext xmlns:c16="http://schemas.microsoft.com/office/drawing/2014/chart" uri="{C3380CC4-5D6E-409C-BE32-E72D297353CC}">
              <c16:uniqueId val="{00000000-0C1D-4081-9BFE-FE505DE43EE9}"/>
            </c:ext>
          </c:extLst>
        </c:ser>
        <c:dLbls>
          <c:showLegendKey val="0"/>
          <c:showVal val="0"/>
          <c:showCatName val="0"/>
          <c:showSerName val="0"/>
          <c:showPercent val="0"/>
          <c:showBubbleSize val="0"/>
        </c:dLbls>
        <c:gapWidth val="30"/>
        <c:overlap val="100"/>
        <c:axId val="1880472911"/>
        <c:axId val="1880453711"/>
      </c:barChart>
      <c:catAx>
        <c:axId val="1880472911"/>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1880453711"/>
        <c:crosses val="autoZero"/>
        <c:auto val="1"/>
        <c:lblAlgn val="ctr"/>
        <c:lblOffset val="100"/>
        <c:noMultiLvlLbl val="0"/>
      </c:catAx>
      <c:valAx>
        <c:axId val="1880453711"/>
        <c:scaling>
          <c:orientation val="minMax"/>
          <c:min val="0"/>
        </c:scaling>
        <c:delete val="1"/>
        <c:axPos val="l"/>
        <c:numFmt formatCode="General" sourceLinked="1"/>
        <c:majorTickMark val="out"/>
        <c:minorTickMark val="none"/>
        <c:tickLblPos val="nextTo"/>
        <c:crossAx val="1880472911"/>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rgbClr val="595959"/>
                    </a:solidFill>
                    <a:latin typeface="Helvetica Neue"/>
                    <a:ea typeface="Helvetica Neue"/>
                    <a:cs typeface="Helvetica Neue"/>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Analysis!$B$316:$B$317</c:f>
              <c:strCache>
                <c:ptCount val="2"/>
                <c:pt idx="0">
                  <c:v>Cash App </c:v>
                </c:pt>
                <c:pt idx="1">
                  <c:v>Venmo</c:v>
                </c:pt>
              </c:strCache>
            </c:strRef>
          </c:cat>
          <c:val>
            <c:numRef>
              <c:f>Analysis!$C$316:$C$317</c:f>
              <c:numCache>
                <c:formatCode>General</c:formatCode>
                <c:ptCount val="2"/>
                <c:pt idx="0" formatCode="0">
                  <c:v>21.224</c:v>
                </c:pt>
                <c:pt idx="1">
                  <c:v>18</c:v>
                </c:pt>
              </c:numCache>
            </c:numRef>
          </c:val>
          <c:extLst>
            <c:ext xmlns:c16="http://schemas.microsoft.com/office/drawing/2014/chart" uri="{C3380CC4-5D6E-409C-BE32-E72D297353CC}">
              <c16:uniqueId val="{00000000-ADCB-4FBD-A414-6CAF750CF9EB}"/>
            </c:ext>
          </c:extLst>
        </c:ser>
        <c:dLbls>
          <c:showLegendKey val="0"/>
          <c:showVal val="0"/>
          <c:showCatName val="0"/>
          <c:showSerName val="0"/>
          <c:showPercent val="0"/>
          <c:showBubbleSize val="0"/>
        </c:dLbls>
        <c:gapWidth val="30"/>
        <c:overlap val="100"/>
        <c:axId val="1880472911"/>
        <c:axId val="1880453711"/>
      </c:barChart>
      <c:catAx>
        <c:axId val="1880472911"/>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1880453711"/>
        <c:crosses val="autoZero"/>
        <c:auto val="1"/>
        <c:lblAlgn val="ctr"/>
        <c:lblOffset val="100"/>
        <c:noMultiLvlLbl val="0"/>
      </c:catAx>
      <c:valAx>
        <c:axId val="1880453711"/>
        <c:scaling>
          <c:orientation val="minMax"/>
          <c:min val="0"/>
        </c:scaling>
        <c:delete val="1"/>
        <c:axPos val="l"/>
        <c:numFmt formatCode="0" sourceLinked="1"/>
        <c:majorTickMark val="out"/>
        <c:minorTickMark val="none"/>
        <c:tickLblPos val="nextTo"/>
        <c:crossAx val="1880472911"/>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Analysis!$G$83</c:f>
              <c:strCache>
                <c:ptCount val="1"/>
                <c:pt idx="0">
                  <c:v>Cash App Borrow</c:v>
                </c:pt>
              </c:strCache>
            </c:strRef>
          </c:tx>
          <c:spPr>
            <a:solidFill>
              <a:schemeClr val="accent6">
                <a:lumMod val="60000"/>
                <a:lumOff val="40000"/>
              </a:schemeClr>
            </a:solidFill>
            <a:ln>
              <a:noFill/>
            </a:ln>
            <a:effectLst/>
            <a:extLst>
              <a:ext uri="{91240B29-F687-4F45-9708-019B960494DF}">
                <a14:hiddenLine xmlns:a14="http://schemas.microsoft.com/office/drawing/2010/main">
                  <a:noFill/>
                </a14:hiddenLine>
              </a:ext>
            </a:ex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Helvetica Neue"/>
                    <a:ea typeface="Helvetica Neue"/>
                    <a:cs typeface="Helvetica Neue"/>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Analysis!$H$82:$I$82</c:f>
              <c:numCache>
                <c:formatCode>General</c:formatCode>
                <c:ptCount val="2"/>
                <c:pt idx="0">
                  <c:v>2022</c:v>
                </c:pt>
                <c:pt idx="1">
                  <c:v>2023</c:v>
                </c:pt>
              </c:numCache>
            </c:numRef>
          </c:cat>
          <c:val>
            <c:numRef>
              <c:f>Analysis!$H$83:$I$83</c:f>
              <c:numCache>
                <c:formatCode>#,##0</c:formatCode>
                <c:ptCount val="2"/>
                <c:pt idx="0">
                  <c:v>2068.9655172413795</c:v>
                </c:pt>
                <c:pt idx="1">
                  <c:v>3600</c:v>
                </c:pt>
              </c:numCache>
            </c:numRef>
          </c:val>
          <c:extLst>
            <c:ext xmlns:c16="http://schemas.microsoft.com/office/drawing/2014/chart" uri="{C3380CC4-5D6E-409C-BE32-E72D297353CC}">
              <c16:uniqueId val="{00000000-AE33-42F3-B234-8BE1BC1D95EF}"/>
            </c:ext>
          </c:extLst>
        </c:ser>
        <c:ser>
          <c:idx val="1"/>
          <c:order val="1"/>
          <c:tx>
            <c:strRef>
              <c:f>Analysis!$G$84</c:f>
              <c:strCache>
                <c:ptCount val="1"/>
                <c:pt idx="0">
                  <c:v>Square loans</c:v>
                </c:pt>
              </c:strCache>
            </c:strRef>
          </c:tx>
          <c:spPr>
            <a:solidFill>
              <a:schemeClr val="accent4">
                <a:lumMod val="60000"/>
                <a:lumOff val="40000"/>
              </a:schemeClr>
            </a:solidFill>
            <a:ln>
              <a:noFill/>
            </a:ln>
            <a:effectLst/>
            <a:extLst>
              <a:ext uri="{91240B29-F687-4F45-9708-019B960494DF}">
                <a14:hiddenLine xmlns:a14="http://schemas.microsoft.com/office/drawing/2010/main">
                  <a:noFill/>
                </a14:hiddenLine>
              </a:ext>
            </a:ex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FFFFFF"/>
                    </a:solidFill>
                    <a:latin typeface="Helvetica Neue"/>
                    <a:ea typeface="Helvetica Neue"/>
                    <a:cs typeface="Helvetica Neue"/>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Analysis!$H$82:$I$82</c:f>
              <c:numCache>
                <c:formatCode>General</c:formatCode>
                <c:ptCount val="2"/>
                <c:pt idx="0">
                  <c:v>2022</c:v>
                </c:pt>
                <c:pt idx="1">
                  <c:v>2023</c:v>
                </c:pt>
              </c:numCache>
            </c:numRef>
          </c:cat>
          <c:val>
            <c:numRef>
              <c:f>Analysis!$H$84:$I$84</c:f>
              <c:numCache>
                <c:formatCode>#,##0</c:formatCode>
                <c:ptCount val="2"/>
                <c:pt idx="0">
                  <c:v>4066</c:v>
                </c:pt>
                <c:pt idx="1">
                  <c:v>4770</c:v>
                </c:pt>
              </c:numCache>
            </c:numRef>
          </c:val>
          <c:extLst>
            <c:ext xmlns:c16="http://schemas.microsoft.com/office/drawing/2014/chart" uri="{C3380CC4-5D6E-409C-BE32-E72D297353CC}">
              <c16:uniqueId val="{00000001-AE33-42F3-B234-8BE1BC1D95EF}"/>
            </c:ext>
          </c:extLst>
        </c:ser>
        <c:dLbls>
          <c:showLegendKey val="0"/>
          <c:showVal val="0"/>
          <c:showCatName val="0"/>
          <c:showSerName val="0"/>
          <c:showPercent val="0"/>
          <c:showBubbleSize val="0"/>
        </c:dLbls>
        <c:gapWidth val="30"/>
        <c:overlap val="-27"/>
        <c:axId val="1871167103"/>
        <c:axId val="1871165183"/>
      </c:barChart>
      <c:catAx>
        <c:axId val="1871167103"/>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1871165183"/>
        <c:crosses val="autoZero"/>
        <c:auto val="1"/>
        <c:lblAlgn val="ctr"/>
        <c:lblOffset val="100"/>
        <c:noMultiLvlLbl val="0"/>
      </c:catAx>
      <c:valAx>
        <c:axId val="1871165183"/>
        <c:scaling>
          <c:orientation val="minMax"/>
        </c:scaling>
        <c:delete val="1"/>
        <c:axPos val="l"/>
        <c:numFmt formatCode="#,##0" sourceLinked="1"/>
        <c:majorTickMark val="out"/>
        <c:minorTickMark val="none"/>
        <c:tickLblPos val="nextTo"/>
        <c:crossAx val="1871167103"/>
        <c:crosses val="autoZero"/>
        <c:crossBetween val="between"/>
      </c:val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Analysis!$J$18</c:f>
              <c:strCache>
                <c:ptCount val="1"/>
                <c:pt idx="0">
                  <c:v>Card interchange</c:v>
                </c:pt>
              </c:strCache>
            </c:strRef>
          </c:tx>
          <c:spPr>
            <a:solidFill>
              <a:schemeClr val="accent4">
                <a:lumMod val="60000"/>
                <a:lumOff val="40000"/>
              </a:schemeClr>
            </a:solidFill>
            <a:ln>
              <a:noFill/>
            </a:ln>
            <a:effectLst/>
            <a:extLst>
              <a:ext uri="{91240B29-F687-4F45-9708-019B960494DF}">
                <a14:hiddenLine xmlns:a14="http://schemas.microsoft.com/office/drawing/2010/main">
                  <a:noFill/>
                </a14:hiddenLine>
              </a:ext>
            </a:ex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1-FAD0-471D-B795-42A1B81CB862}"/>
                </c:ext>
              </c:extLst>
            </c:dLbl>
            <c:dLbl>
              <c:idx val="1"/>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bg1"/>
                      </a:solidFill>
                      <a:latin typeface="Helvetica Neue"/>
                      <a:ea typeface="Helvetica Neue"/>
                      <a:cs typeface="Helvetica Neue"/>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FAD0-471D-B795-42A1B81CB862}"/>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595959"/>
                    </a:solidFill>
                    <a:latin typeface="Helvetica Neue"/>
                    <a:ea typeface="Helvetica Neue"/>
                    <a:cs typeface="Helvetica Neue"/>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Analysis!$K$17:$L$17</c:f>
              <c:strCache>
                <c:ptCount val="2"/>
                <c:pt idx="0">
                  <c:v>Venmo</c:v>
                </c:pt>
                <c:pt idx="1">
                  <c:v>Cash App</c:v>
                </c:pt>
              </c:strCache>
            </c:strRef>
          </c:cat>
          <c:val>
            <c:numRef>
              <c:f>Analysis!$K$18:$L$18</c:f>
              <c:numCache>
                <c:formatCode>0</c:formatCode>
                <c:ptCount val="2"/>
                <c:pt idx="0">
                  <c:v>187.2</c:v>
                </c:pt>
                <c:pt idx="1">
                  <c:v>1248</c:v>
                </c:pt>
              </c:numCache>
            </c:numRef>
          </c:val>
          <c:extLst>
            <c:ext xmlns:c16="http://schemas.microsoft.com/office/drawing/2014/chart" uri="{C3380CC4-5D6E-409C-BE32-E72D297353CC}">
              <c16:uniqueId val="{00000000-FAD0-471D-B795-42A1B81CB862}"/>
            </c:ext>
          </c:extLst>
        </c:ser>
        <c:dLbls>
          <c:showLegendKey val="0"/>
          <c:showVal val="0"/>
          <c:showCatName val="0"/>
          <c:showSerName val="0"/>
          <c:showPercent val="0"/>
          <c:showBubbleSize val="0"/>
        </c:dLbls>
        <c:gapWidth val="30"/>
        <c:overlap val="-27"/>
        <c:axId val="1687174255"/>
        <c:axId val="1687159375"/>
      </c:barChart>
      <c:catAx>
        <c:axId val="1687174255"/>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1687159375"/>
        <c:crosses val="autoZero"/>
        <c:auto val="1"/>
        <c:lblAlgn val="ctr"/>
        <c:lblOffset val="100"/>
        <c:noMultiLvlLbl val="0"/>
      </c:catAx>
      <c:valAx>
        <c:axId val="1687159375"/>
        <c:scaling>
          <c:orientation val="minMax"/>
        </c:scaling>
        <c:delete val="1"/>
        <c:axPos val="l"/>
        <c:numFmt formatCode="0" sourceLinked="1"/>
        <c:majorTickMark val="out"/>
        <c:minorTickMark val="none"/>
        <c:tickLblPos val="nextTo"/>
        <c:crossAx val="1687174255"/>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6">
                <a:lumMod val="60000"/>
                <a:lumOff val="40000"/>
              </a:schemeClr>
            </a:solidFill>
            <a:ln>
              <a:noFill/>
            </a:ln>
            <a:effectLst/>
            <a:extLst>
              <a:ext uri="{91240B29-F687-4F45-9708-019B960494DF}">
                <a14:hiddenLine xmlns:a14="http://schemas.microsoft.com/office/drawing/2010/main">
                  <a:noFill/>
                </a14:hiddenLine>
              </a:ext>
            </a:ex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595959"/>
                    </a:solidFill>
                    <a:latin typeface="Helvetica Neue"/>
                    <a:ea typeface="Helvetica Neue"/>
                    <a:cs typeface="Helvetica Neue"/>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Master!$G$2:$O$2</c:f>
              <c:numCache>
                <c:formatCode>General</c:formatCode>
                <c:ptCount val="9"/>
                <c:pt idx="0">
                  <c:v>2022</c:v>
                </c:pt>
                <c:pt idx="1">
                  <c:v>2023</c:v>
                </c:pt>
                <c:pt idx="2">
                  <c:v>2024</c:v>
                </c:pt>
                <c:pt idx="3">
                  <c:v>2025</c:v>
                </c:pt>
                <c:pt idx="4">
                  <c:v>2026</c:v>
                </c:pt>
                <c:pt idx="5">
                  <c:v>2027</c:v>
                </c:pt>
                <c:pt idx="6">
                  <c:v>2028</c:v>
                </c:pt>
                <c:pt idx="7">
                  <c:v>2029</c:v>
                </c:pt>
                <c:pt idx="8">
                  <c:v>2030</c:v>
                </c:pt>
              </c:numCache>
            </c:numRef>
          </c:cat>
          <c:val>
            <c:numRef>
              <c:f>Master!$G$392:$O$392</c:f>
              <c:numCache>
                <c:formatCode>0%</c:formatCode>
                <c:ptCount val="9"/>
                <c:pt idx="0">
                  <c:v>0.3356891709326591</c:v>
                </c:pt>
                <c:pt idx="1">
                  <c:v>0.28999999999999998</c:v>
                </c:pt>
                <c:pt idx="2">
                  <c:v>0.25900163015023864</c:v>
                </c:pt>
                <c:pt idx="3">
                  <c:v>0.23482071252845579</c:v>
                </c:pt>
                <c:pt idx="4">
                  <c:v>0.20737879770425974</c:v>
                </c:pt>
                <c:pt idx="5">
                  <c:v>0.17497031558831644</c:v>
                </c:pt>
                <c:pt idx="6">
                  <c:v>0.15160549626385747</c:v>
                </c:pt>
                <c:pt idx="7">
                  <c:v>0.13448388107186213</c:v>
                </c:pt>
                <c:pt idx="8">
                  <c:v>0.120601817002133</c:v>
                </c:pt>
              </c:numCache>
            </c:numRef>
          </c:val>
          <c:extLst>
            <c:ext xmlns:c16="http://schemas.microsoft.com/office/drawing/2014/chart" uri="{C3380CC4-5D6E-409C-BE32-E72D297353CC}">
              <c16:uniqueId val="{00000000-4CA9-46B6-AE5A-B0BD7889E331}"/>
            </c:ext>
          </c:extLst>
        </c:ser>
        <c:dLbls>
          <c:showLegendKey val="0"/>
          <c:showVal val="0"/>
          <c:showCatName val="0"/>
          <c:showSerName val="0"/>
          <c:showPercent val="0"/>
          <c:showBubbleSize val="0"/>
        </c:dLbls>
        <c:gapWidth val="30"/>
        <c:overlap val="-27"/>
        <c:axId val="1374422080"/>
        <c:axId val="1371550800"/>
      </c:barChart>
      <c:catAx>
        <c:axId val="1374422080"/>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1371550800"/>
        <c:crosses val="autoZero"/>
        <c:auto val="1"/>
        <c:lblAlgn val="ctr"/>
        <c:lblOffset val="100"/>
        <c:noMultiLvlLbl val="0"/>
      </c:catAx>
      <c:valAx>
        <c:axId val="1371550800"/>
        <c:scaling>
          <c:orientation val="minMax"/>
        </c:scaling>
        <c:delete val="1"/>
        <c:axPos val="l"/>
        <c:numFmt formatCode="0%" sourceLinked="1"/>
        <c:majorTickMark val="out"/>
        <c:minorTickMark val="none"/>
        <c:tickLblPos val="nextTo"/>
        <c:crossAx val="1374422080"/>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6">
                <a:lumMod val="75000"/>
              </a:schemeClr>
            </a:solidFill>
            <a:ln>
              <a:noFill/>
            </a:ln>
            <a:effectLst/>
            <a:extLst>
              <a:ext uri="{91240B29-F687-4F45-9708-019B960494DF}">
                <a14:hiddenLine xmlns:a14="http://schemas.microsoft.com/office/drawing/2010/main">
                  <a:noFill/>
                </a14:hiddenLine>
              </a:ext>
            </a:ex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595959"/>
                    </a:solidFill>
                    <a:latin typeface="Helvetica Neue"/>
                    <a:ea typeface="Helvetica Neue"/>
                    <a:cs typeface="Helvetica Neue"/>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Analysis!$C$352:$L$352</c:f>
              <c:strCache>
                <c:ptCount val="10"/>
                <c:pt idx="0">
                  <c:v>Q1 22</c:v>
                </c:pt>
                <c:pt idx="1">
                  <c:v>Q2 22</c:v>
                </c:pt>
                <c:pt idx="2">
                  <c:v>Q3 22</c:v>
                </c:pt>
                <c:pt idx="3">
                  <c:v>Q4 22</c:v>
                </c:pt>
                <c:pt idx="4">
                  <c:v>Q1 23</c:v>
                </c:pt>
                <c:pt idx="5">
                  <c:v>Q2 23</c:v>
                </c:pt>
                <c:pt idx="6">
                  <c:v>Q3 23</c:v>
                </c:pt>
                <c:pt idx="7">
                  <c:v>Q4 23</c:v>
                </c:pt>
                <c:pt idx="8">
                  <c:v>Q1 24</c:v>
                </c:pt>
                <c:pt idx="9">
                  <c:v>Q2 24</c:v>
                </c:pt>
              </c:strCache>
            </c:strRef>
          </c:cat>
          <c:val>
            <c:numRef>
              <c:f>Analysis!$C$353:$L$353</c:f>
              <c:numCache>
                <c:formatCode>General</c:formatCode>
                <c:ptCount val="10"/>
                <c:pt idx="0">
                  <c:v>46</c:v>
                </c:pt>
                <c:pt idx="1">
                  <c:v>47</c:v>
                </c:pt>
                <c:pt idx="2">
                  <c:v>49</c:v>
                </c:pt>
                <c:pt idx="3">
                  <c:v>51</c:v>
                </c:pt>
                <c:pt idx="4">
                  <c:v>53</c:v>
                </c:pt>
                <c:pt idx="5">
                  <c:v>54</c:v>
                </c:pt>
                <c:pt idx="6">
                  <c:v>55</c:v>
                </c:pt>
                <c:pt idx="7">
                  <c:v>56</c:v>
                </c:pt>
                <c:pt idx="8">
                  <c:v>57</c:v>
                </c:pt>
                <c:pt idx="9">
                  <c:v>57</c:v>
                </c:pt>
              </c:numCache>
            </c:numRef>
          </c:val>
          <c:extLst>
            <c:ext xmlns:c16="http://schemas.microsoft.com/office/drawing/2014/chart" uri="{C3380CC4-5D6E-409C-BE32-E72D297353CC}">
              <c16:uniqueId val="{00000000-E84C-47FD-AFC4-5B904AC4FAE8}"/>
            </c:ext>
          </c:extLst>
        </c:ser>
        <c:dLbls>
          <c:showLegendKey val="0"/>
          <c:showVal val="0"/>
          <c:showCatName val="0"/>
          <c:showSerName val="0"/>
          <c:showPercent val="0"/>
          <c:showBubbleSize val="0"/>
        </c:dLbls>
        <c:gapWidth val="30"/>
        <c:overlap val="-27"/>
        <c:axId val="280259007"/>
        <c:axId val="280268127"/>
      </c:barChart>
      <c:catAx>
        <c:axId val="280259007"/>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280268127"/>
        <c:crosses val="autoZero"/>
        <c:auto val="1"/>
        <c:lblAlgn val="ctr"/>
        <c:lblOffset val="100"/>
        <c:noMultiLvlLbl val="0"/>
      </c:catAx>
      <c:valAx>
        <c:axId val="280268127"/>
        <c:scaling>
          <c:orientation val="minMax"/>
        </c:scaling>
        <c:delete val="1"/>
        <c:axPos val="l"/>
        <c:numFmt formatCode="General" sourceLinked="1"/>
        <c:majorTickMark val="out"/>
        <c:minorTickMark val="none"/>
        <c:tickLblPos val="nextTo"/>
        <c:crossAx val="280259007"/>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6">
                <a:lumMod val="60000"/>
                <a:lumOff val="40000"/>
              </a:schemeClr>
            </a:solidFill>
            <a:ln>
              <a:noFill/>
            </a:ln>
            <a:effectLst/>
            <a:extLst>
              <a:ext uri="{91240B29-F687-4F45-9708-019B960494DF}">
                <a14:hiddenLine xmlns:a14="http://schemas.microsoft.com/office/drawing/2010/main">
                  <a:noFill/>
                </a14:hiddenLine>
              </a:ext>
            </a:ex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595959"/>
                    </a:solidFill>
                    <a:latin typeface="Helvetica Neue"/>
                    <a:ea typeface="Helvetica Neue"/>
                    <a:cs typeface="Helvetica Neue"/>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Analysis!$C$352:$L$352</c:f>
              <c:strCache>
                <c:ptCount val="10"/>
                <c:pt idx="0">
                  <c:v>Q1 22</c:v>
                </c:pt>
                <c:pt idx="1">
                  <c:v>Q2 22</c:v>
                </c:pt>
                <c:pt idx="2">
                  <c:v>Q3 22</c:v>
                </c:pt>
                <c:pt idx="3">
                  <c:v>Q4 22</c:v>
                </c:pt>
                <c:pt idx="4">
                  <c:v>Q1 23</c:v>
                </c:pt>
                <c:pt idx="5">
                  <c:v>Q2 23</c:v>
                </c:pt>
                <c:pt idx="6">
                  <c:v>Q3 23</c:v>
                </c:pt>
                <c:pt idx="7">
                  <c:v>Q4 23</c:v>
                </c:pt>
                <c:pt idx="8">
                  <c:v>Q1 24</c:v>
                </c:pt>
                <c:pt idx="9">
                  <c:v>Q2 24</c:v>
                </c:pt>
              </c:strCache>
            </c:strRef>
          </c:cat>
          <c:val>
            <c:numRef>
              <c:f>Analysis!$C$357:$L$357</c:f>
              <c:numCache>
                <c:formatCode>0</c:formatCode>
                <c:ptCount val="10"/>
                <c:pt idx="0" formatCode="General">
                  <c:v>15</c:v>
                </c:pt>
                <c:pt idx="1">
                  <c:v>16.5</c:v>
                </c:pt>
                <c:pt idx="2" formatCode="General">
                  <c:v>18</c:v>
                </c:pt>
                <c:pt idx="3" formatCode="General">
                  <c:v>19</c:v>
                </c:pt>
                <c:pt idx="4" formatCode="General">
                  <c:v>20</c:v>
                </c:pt>
                <c:pt idx="5" formatCode="General">
                  <c:v>21</c:v>
                </c:pt>
                <c:pt idx="6" formatCode="General">
                  <c:v>22</c:v>
                </c:pt>
                <c:pt idx="7" formatCode="General">
                  <c:v>23</c:v>
                </c:pt>
                <c:pt idx="8" formatCode="General">
                  <c:v>24</c:v>
                </c:pt>
                <c:pt idx="9" formatCode="General">
                  <c:v>24</c:v>
                </c:pt>
              </c:numCache>
            </c:numRef>
          </c:val>
          <c:extLst>
            <c:ext xmlns:c16="http://schemas.microsoft.com/office/drawing/2014/chart" uri="{C3380CC4-5D6E-409C-BE32-E72D297353CC}">
              <c16:uniqueId val="{00000000-D6DB-4049-B6A6-2EDA09AA5797}"/>
            </c:ext>
          </c:extLst>
        </c:ser>
        <c:dLbls>
          <c:showLegendKey val="0"/>
          <c:showVal val="0"/>
          <c:showCatName val="0"/>
          <c:showSerName val="0"/>
          <c:showPercent val="0"/>
          <c:showBubbleSize val="0"/>
        </c:dLbls>
        <c:gapWidth val="30"/>
        <c:overlap val="-27"/>
        <c:axId val="280259007"/>
        <c:axId val="280268127"/>
      </c:barChart>
      <c:catAx>
        <c:axId val="280259007"/>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280268127"/>
        <c:crosses val="autoZero"/>
        <c:auto val="1"/>
        <c:lblAlgn val="ctr"/>
        <c:lblOffset val="100"/>
        <c:noMultiLvlLbl val="0"/>
      </c:catAx>
      <c:valAx>
        <c:axId val="280268127"/>
        <c:scaling>
          <c:orientation val="minMax"/>
        </c:scaling>
        <c:delete val="1"/>
        <c:axPos val="l"/>
        <c:numFmt formatCode="General" sourceLinked="1"/>
        <c:majorTickMark val="out"/>
        <c:minorTickMark val="none"/>
        <c:tickLblPos val="nextTo"/>
        <c:crossAx val="280259007"/>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4">
                <a:lumMod val="60000"/>
                <a:lumOff val="40000"/>
              </a:schemeClr>
            </a:solidFill>
            <a:ln>
              <a:noFill/>
            </a:ln>
            <a:effectLst/>
            <a:extLst>
              <a:ext uri="{91240B29-F687-4F45-9708-019B960494DF}">
                <a14:hiddenLine xmlns:a14="http://schemas.microsoft.com/office/drawing/2010/main">
                  <a:noFill/>
                </a14:hiddenLine>
              </a:ext>
            </a:ex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595959"/>
                    </a:solidFill>
                    <a:latin typeface="Helvetica Neue"/>
                    <a:ea typeface="Helvetica Neue"/>
                    <a:cs typeface="Helvetica Neue"/>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Analysis!$C$352:$L$352</c:f>
              <c:strCache>
                <c:ptCount val="10"/>
                <c:pt idx="0">
                  <c:v>Q1 22</c:v>
                </c:pt>
                <c:pt idx="1">
                  <c:v>Q2 22</c:v>
                </c:pt>
                <c:pt idx="2">
                  <c:v>Q3 22</c:v>
                </c:pt>
                <c:pt idx="3">
                  <c:v>Q4 22</c:v>
                </c:pt>
                <c:pt idx="4">
                  <c:v>Q1 23</c:v>
                </c:pt>
                <c:pt idx="5">
                  <c:v>Q2 23</c:v>
                </c:pt>
                <c:pt idx="6">
                  <c:v>Q3 23</c:v>
                </c:pt>
                <c:pt idx="7">
                  <c:v>Q4 23</c:v>
                </c:pt>
                <c:pt idx="8">
                  <c:v>Q1 24</c:v>
                </c:pt>
                <c:pt idx="9">
                  <c:v>Q2 24</c:v>
                </c:pt>
              </c:strCache>
            </c:strRef>
          </c:cat>
          <c:val>
            <c:numRef>
              <c:f>Analysis!$C$354:$L$354</c:f>
              <c:numCache>
                <c:formatCode>#,##0</c:formatCode>
                <c:ptCount val="10"/>
                <c:pt idx="0">
                  <c:v>48392</c:v>
                </c:pt>
                <c:pt idx="1">
                  <c:v>49256</c:v>
                </c:pt>
                <c:pt idx="2">
                  <c:v>51254</c:v>
                </c:pt>
                <c:pt idx="3">
                  <c:v>53448</c:v>
                </c:pt>
                <c:pt idx="4">
                  <c:v>60208</c:v>
                </c:pt>
                <c:pt idx="5">
                  <c:v>61236</c:v>
                </c:pt>
                <c:pt idx="6">
                  <c:v>62260</c:v>
                </c:pt>
                <c:pt idx="7">
                  <c:v>63672</c:v>
                </c:pt>
                <c:pt idx="8">
                  <c:v>71535</c:v>
                </c:pt>
                <c:pt idx="9">
                  <c:v>70851</c:v>
                </c:pt>
              </c:numCache>
            </c:numRef>
          </c:val>
          <c:extLst>
            <c:ext xmlns:c16="http://schemas.microsoft.com/office/drawing/2014/chart" uri="{C3380CC4-5D6E-409C-BE32-E72D297353CC}">
              <c16:uniqueId val="{00000000-C134-4380-9E7B-5B3D8BBABC94}"/>
            </c:ext>
          </c:extLst>
        </c:ser>
        <c:dLbls>
          <c:showLegendKey val="0"/>
          <c:showVal val="0"/>
          <c:showCatName val="0"/>
          <c:showSerName val="0"/>
          <c:showPercent val="0"/>
          <c:showBubbleSize val="0"/>
        </c:dLbls>
        <c:gapWidth val="30"/>
        <c:overlap val="-27"/>
        <c:axId val="280259007"/>
        <c:axId val="280268127"/>
      </c:barChart>
      <c:catAx>
        <c:axId val="280259007"/>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280268127"/>
        <c:crosses val="autoZero"/>
        <c:auto val="1"/>
        <c:lblAlgn val="ctr"/>
        <c:lblOffset val="100"/>
        <c:noMultiLvlLbl val="0"/>
      </c:catAx>
      <c:valAx>
        <c:axId val="280268127"/>
        <c:scaling>
          <c:orientation val="minMax"/>
        </c:scaling>
        <c:delete val="1"/>
        <c:axPos val="l"/>
        <c:numFmt formatCode="#,##0" sourceLinked="1"/>
        <c:majorTickMark val="out"/>
        <c:minorTickMark val="none"/>
        <c:tickLblPos val="nextTo"/>
        <c:crossAx val="280259007"/>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4">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595959"/>
                    </a:solidFill>
                    <a:latin typeface="Helvetica Neue"/>
                    <a:ea typeface="Helvetica Neue"/>
                    <a:cs typeface="Helvetica Neue"/>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Analysis!$C$352:$L$352</c:f>
              <c:strCache>
                <c:ptCount val="10"/>
                <c:pt idx="0">
                  <c:v>Q1 22</c:v>
                </c:pt>
                <c:pt idx="1">
                  <c:v>Q2 22</c:v>
                </c:pt>
                <c:pt idx="2">
                  <c:v>Q3 22</c:v>
                </c:pt>
                <c:pt idx="3">
                  <c:v>Q4 22</c:v>
                </c:pt>
                <c:pt idx="4">
                  <c:v>Q1 23</c:v>
                </c:pt>
                <c:pt idx="5">
                  <c:v>Q2 23</c:v>
                </c:pt>
                <c:pt idx="6">
                  <c:v>Q3 23</c:v>
                </c:pt>
                <c:pt idx="7">
                  <c:v>Q4 23</c:v>
                </c:pt>
                <c:pt idx="8">
                  <c:v>Q1 24</c:v>
                </c:pt>
                <c:pt idx="9">
                  <c:v>Q2 24</c:v>
                </c:pt>
              </c:strCache>
            </c:strRef>
          </c:cat>
          <c:val>
            <c:numRef>
              <c:f>Analysis!$C$356:$L$356</c:f>
              <c:numCache>
                <c:formatCode>0.0</c:formatCode>
                <c:ptCount val="10"/>
                <c:pt idx="0">
                  <c:v>1.5</c:v>
                </c:pt>
                <c:pt idx="4" formatCode="0">
                  <c:v>2</c:v>
                </c:pt>
                <c:pt idx="7" formatCode="0">
                  <c:v>2</c:v>
                </c:pt>
              </c:numCache>
            </c:numRef>
          </c:val>
          <c:extLst>
            <c:ext xmlns:c16="http://schemas.microsoft.com/office/drawing/2014/chart" uri="{C3380CC4-5D6E-409C-BE32-E72D297353CC}">
              <c16:uniqueId val="{00000000-0DA6-47CB-BDE1-04A380DCBF66}"/>
            </c:ext>
          </c:extLst>
        </c:ser>
        <c:dLbls>
          <c:showLegendKey val="0"/>
          <c:showVal val="0"/>
          <c:showCatName val="0"/>
          <c:showSerName val="0"/>
          <c:showPercent val="0"/>
          <c:showBubbleSize val="0"/>
        </c:dLbls>
        <c:gapWidth val="30"/>
        <c:overlap val="-27"/>
        <c:axId val="280259007"/>
        <c:axId val="280268127"/>
      </c:barChart>
      <c:catAx>
        <c:axId val="280259007"/>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280268127"/>
        <c:crosses val="autoZero"/>
        <c:auto val="1"/>
        <c:lblAlgn val="ctr"/>
        <c:lblOffset val="100"/>
        <c:noMultiLvlLbl val="0"/>
      </c:catAx>
      <c:valAx>
        <c:axId val="280268127"/>
        <c:scaling>
          <c:orientation val="minMax"/>
        </c:scaling>
        <c:delete val="1"/>
        <c:axPos val="l"/>
        <c:numFmt formatCode="0.0" sourceLinked="1"/>
        <c:majorTickMark val="out"/>
        <c:minorTickMark val="none"/>
        <c:tickLblPos val="nextTo"/>
        <c:crossAx val="280259007"/>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Analysis!$B$169</c:f>
              <c:strCache>
                <c:ptCount val="1"/>
                <c:pt idx="0">
                  <c:v>Square US</c:v>
                </c:pt>
              </c:strCache>
            </c:strRef>
          </c:tx>
          <c:spPr>
            <a:ln w="28575" cap="rnd">
              <a:solidFill>
                <a:schemeClr val="accent6"/>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Helvetica Neue"/>
                    <a:ea typeface="Helvetica Neue"/>
                    <a:cs typeface="Helvetica Neue"/>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Analysis!$F$168:$L$168</c:f>
              <c:strCache>
                <c:ptCount val="7"/>
                <c:pt idx="0">
                  <c:v>Q4 22</c:v>
                </c:pt>
                <c:pt idx="1">
                  <c:v>Q1 23</c:v>
                </c:pt>
                <c:pt idx="2">
                  <c:v>Q2 23</c:v>
                </c:pt>
                <c:pt idx="3">
                  <c:v>Q3 23</c:v>
                </c:pt>
                <c:pt idx="4">
                  <c:v>Q4 23</c:v>
                </c:pt>
                <c:pt idx="5">
                  <c:v>Q1 24</c:v>
                </c:pt>
                <c:pt idx="6">
                  <c:v>Q2 24</c:v>
                </c:pt>
              </c:strCache>
            </c:strRef>
          </c:cat>
          <c:val>
            <c:numRef>
              <c:f>Analysis!$F$169:$L$169</c:f>
              <c:numCache>
                <c:formatCode>0%</c:formatCode>
                <c:ptCount val="7"/>
                <c:pt idx="0">
                  <c:v>4.1678705576422947E-2</c:v>
                </c:pt>
                <c:pt idx="1">
                  <c:v>0.10677182202572166</c:v>
                </c:pt>
                <c:pt idx="2">
                  <c:v>0.16364984558721685</c:v>
                </c:pt>
                <c:pt idx="3">
                  <c:v>0.11320194388680194</c:v>
                </c:pt>
                <c:pt idx="4">
                  <c:v>0.16386632543303303</c:v>
                </c:pt>
                <c:pt idx="5">
                  <c:v>0.16334312420020081</c:v>
                </c:pt>
                <c:pt idx="6">
                  <c:v>0.12261478110955637</c:v>
                </c:pt>
              </c:numCache>
            </c:numRef>
          </c:val>
          <c:smooth val="0"/>
          <c:extLst>
            <c:ext xmlns:c16="http://schemas.microsoft.com/office/drawing/2014/chart" uri="{C3380CC4-5D6E-409C-BE32-E72D297353CC}">
              <c16:uniqueId val="{00000000-C65F-4738-9A88-C627516F0156}"/>
            </c:ext>
          </c:extLst>
        </c:ser>
        <c:dLbls>
          <c:showLegendKey val="0"/>
          <c:showVal val="0"/>
          <c:showCatName val="0"/>
          <c:showSerName val="0"/>
          <c:showPercent val="0"/>
          <c:showBubbleSize val="0"/>
        </c:dLbls>
        <c:smooth val="0"/>
        <c:axId val="1149438895"/>
        <c:axId val="1149436975"/>
      </c:lineChart>
      <c:catAx>
        <c:axId val="1149438895"/>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1149436975"/>
        <c:crosses val="autoZero"/>
        <c:auto val="1"/>
        <c:lblAlgn val="ctr"/>
        <c:lblOffset val="100"/>
        <c:noMultiLvlLbl val="0"/>
      </c:catAx>
      <c:valAx>
        <c:axId val="1149436975"/>
        <c:scaling>
          <c:orientation val="minMax"/>
        </c:scaling>
        <c:delete val="1"/>
        <c:axPos val="l"/>
        <c:numFmt formatCode="0%" sourceLinked="1"/>
        <c:majorTickMark val="out"/>
        <c:minorTickMark val="none"/>
        <c:tickLblPos val="nextTo"/>
        <c:crossAx val="1149438895"/>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Analysis!$B$172</c:f>
              <c:strCache>
                <c:ptCount val="1"/>
                <c:pt idx="0">
                  <c:v>Square GMV</c:v>
                </c:pt>
              </c:strCache>
            </c:strRef>
          </c:tx>
          <c:spPr>
            <a:ln w="28575" cap="rnd">
              <a:solidFill>
                <a:schemeClr val="accent4">
                  <a:lumMod val="60000"/>
                  <a:lumOff val="40000"/>
                </a:schemeClr>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595959"/>
                    </a:solidFill>
                    <a:latin typeface="Helvetica Neue"/>
                    <a:ea typeface="Helvetica Neue"/>
                    <a:cs typeface="Helvetica Neue"/>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Analysis!$F$168:$L$168</c:f>
              <c:strCache>
                <c:ptCount val="7"/>
                <c:pt idx="0">
                  <c:v>Q4 22</c:v>
                </c:pt>
                <c:pt idx="1">
                  <c:v>Q1 23</c:v>
                </c:pt>
                <c:pt idx="2">
                  <c:v>Q2 23</c:v>
                </c:pt>
                <c:pt idx="3">
                  <c:v>Q3 23</c:v>
                </c:pt>
                <c:pt idx="4">
                  <c:v>Q4 23</c:v>
                </c:pt>
                <c:pt idx="5">
                  <c:v>Q1 24</c:v>
                </c:pt>
                <c:pt idx="6">
                  <c:v>Q2 24</c:v>
                </c:pt>
              </c:strCache>
            </c:strRef>
          </c:cat>
          <c:val>
            <c:numRef>
              <c:f>Analysis!$F$172:$L$172</c:f>
              <c:numCache>
                <c:formatCode>0%</c:formatCode>
                <c:ptCount val="7"/>
                <c:pt idx="0">
                  <c:v>0.14242068155111642</c:v>
                </c:pt>
                <c:pt idx="1">
                  <c:v>0.16894284269094584</c:v>
                </c:pt>
                <c:pt idx="2">
                  <c:v>0.12181479179614652</c:v>
                </c:pt>
                <c:pt idx="3">
                  <c:v>0.11290967226219029</c:v>
                </c:pt>
                <c:pt idx="4">
                  <c:v>0.10148485196461632</c:v>
                </c:pt>
                <c:pt idx="5">
                  <c:v>9.1841886629164815E-2</c:v>
                </c:pt>
                <c:pt idx="6">
                  <c:v>7.7965410895660225E-2</c:v>
                </c:pt>
              </c:numCache>
            </c:numRef>
          </c:val>
          <c:smooth val="0"/>
          <c:extLst>
            <c:ext xmlns:c16="http://schemas.microsoft.com/office/drawing/2014/chart" uri="{C3380CC4-5D6E-409C-BE32-E72D297353CC}">
              <c16:uniqueId val="{00000000-3C87-48C4-8F35-88CED84A9B2E}"/>
            </c:ext>
          </c:extLst>
        </c:ser>
        <c:dLbls>
          <c:showLegendKey val="0"/>
          <c:showVal val="0"/>
          <c:showCatName val="0"/>
          <c:showSerName val="0"/>
          <c:showPercent val="0"/>
          <c:showBubbleSize val="0"/>
        </c:dLbls>
        <c:smooth val="0"/>
        <c:axId val="1149438895"/>
        <c:axId val="1149436975"/>
      </c:lineChart>
      <c:catAx>
        <c:axId val="1149438895"/>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1149436975"/>
        <c:crosses val="autoZero"/>
        <c:auto val="1"/>
        <c:lblAlgn val="ctr"/>
        <c:lblOffset val="100"/>
        <c:noMultiLvlLbl val="0"/>
      </c:catAx>
      <c:valAx>
        <c:axId val="1149436975"/>
        <c:scaling>
          <c:orientation val="minMax"/>
        </c:scaling>
        <c:delete val="1"/>
        <c:axPos val="l"/>
        <c:numFmt formatCode="0%" sourceLinked="1"/>
        <c:majorTickMark val="out"/>
        <c:minorTickMark val="none"/>
        <c:tickLblPos val="nextTo"/>
        <c:crossAx val="1149438895"/>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Analysis!$C$352:$L$352</c:f>
              <c:strCache>
                <c:ptCount val="10"/>
                <c:pt idx="0">
                  <c:v>Q1 22</c:v>
                </c:pt>
                <c:pt idx="1">
                  <c:v>Q2 22</c:v>
                </c:pt>
                <c:pt idx="2">
                  <c:v>Q3 22</c:v>
                </c:pt>
                <c:pt idx="3">
                  <c:v>Q4 22</c:v>
                </c:pt>
                <c:pt idx="4">
                  <c:v>Q1 23</c:v>
                </c:pt>
                <c:pt idx="5">
                  <c:v>Q2 23</c:v>
                </c:pt>
                <c:pt idx="6">
                  <c:v>Q3 23</c:v>
                </c:pt>
                <c:pt idx="7">
                  <c:v>Q4 23</c:v>
                </c:pt>
                <c:pt idx="8">
                  <c:v>Q1 24</c:v>
                </c:pt>
                <c:pt idx="9">
                  <c:v>Q2 24</c:v>
                </c:pt>
              </c:strCache>
            </c:strRef>
          </c:cat>
          <c:val>
            <c:numRef>
              <c:f>Analysis!$C$355:$L$355</c:f>
              <c:numCache>
                <c:formatCode>#,##0</c:formatCode>
                <c:ptCount val="10"/>
                <c:pt idx="0">
                  <c:v>1052</c:v>
                </c:pt>
                <c:pt idx="1">
                  <c:v>1048</c:v>
                </c:pt>
                <c:pt idx="2">
                  <c:v>1046</c:v>
                </c:pt>
                <c:pt idx="3">
                  <c:v>1048</c:v>
                </c:pt>
                <c:pt idx="4">
                  <c:v>1136</c:v>
                </c:pt>
                <c:pt idx="5">
                  <c:v>1134</c:v>
                </c:pt>
                <c:pt idx="6">
                  <c:v>1132</c:v>
                </c:pt>
                <c:pt idx="7">
                  <c:v>1137</c:v>
                </c:pt>
                <c:pt idx="8">
                  <c:v>1255</c:v>
                </c:pt>
                <c:pt idx="9">
                  <c:v>1243</c:v>
                </c:pt>
              </c:numCache>
            </c:numRef>
          </c:val>
          <c:extLst>
            <c:ext xmlns:c16="http://schemas.microsoft.com/office/drawing/2014/chart" uri="{C3380CC4-5D6E-409C-BE32-E72D297353CC}">
              <c16:uniqueId val="{00000000-FFFE-4A34-868A-E6343E5FD004}"/>
            </c:ext>
          </c:extLst>
        </c:ser>
        <c:dLbls>
          <c:showLegendKey val="0"/>
          <c:showVal val="0"/>
          <c:showCatName val="0"/>
          <c:showSerName val="0"/>
          <c:showPercent val="0"/>
          <c:showBubbleSize val="0"/>
        </c:dLbls>
        <c:gapWidth val="30"/>
        <c:overlap val="-27"/>
        <c:axId val="280259007"/>
        <c:axId val="280268127"/>
      </c:barChart>
      <c:catAx>
        <c:axId val="280259007"/>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280268127"/>
        <c:crosses val="autoZero"/>
        <c:auto val="1"/>
        <c:lblAlgn val="ctr"/>
        <c:lblOffset val="100"/>
        <c:noMultiLvlLbl val="0"/>
      </c:catAx>
      <c:valAx>
        <c:axId val="280268127"/>
        <c:scaling>
          <c:orientation val="minMax"/>
        </c:scaling>
        <c:delete val="1"/>
        <c:axPos val="l"/>
        <c:numFmt formatCode="#,##0" sourceLinked="1"/>
        <c:majorTickMark val="out"/>
        <c:minorTickMark val="none"/>
        <c:tickLblPos val="nextTo"/>
        <c:crossAx val="280259007"/>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329774955848453"/>
          <c:y val="6.5045498609769978E-2"/>
          <c:w val="0.61545894890537478"/>
          <c:h val="0.702667612913222"/>
        </c:manualLayout>
      </c:layout>
      <c:pieChart>
        <c:varyColors val="1"/>
        <c:ser>
          <c:idx val="0"/>
          <c:order val="0"/>
          <c:dPt>
            <c:idx val="0"/>
            <c:bubble3D val="0"/>
            <c:spPr>
              <a:solidFill>
                <a:schemeClr val="accent6">
                  <a:lumMod val="75000"/>
                </a:schemeClr>
              </a:solidFill>
              <a:ln w="25400">
                <a:noFill/>
              </a:ln>
              <a:effectLst/>
            </c:spPr>
            <c:extLst>
              <c:ext xmlns:c16="http://schemas.microsoft.com/office/drawing/2014/chart" uri="{C3380CC4-5D6E-409C-BE32-E72D297353CC}">
                <c16:uniqueId val="{00000001-CA5D-4086-A0DC-6C14EFF39618}"/>
              </c:ext>
            </c:extLst>
          </c:dPt>
          <c:dPt>
            <c:idx val="1"/>
            <c:bubble3D val="0"/>
            <c:explosion val="17"/>
            <c:spPr>
              <a:solidFill>
                <a:schemeClr val="accent6">
                  <a:lumMod val="60000"/>
                  <a:lumOff val="40000"/>
                </a:schemeClr>
              </a:solidFill>
              <a:ln w="25400">
                <a:noFill/>
              </a:ln>
              <a:effectLst/>
            </c:spPr>
            <c:extLst>
              <c:ext xmlns:c16="http://schemas.microsoft.com/office/drawing/2014/chart" uri="{C3380CC4-5D6E-409C-BE32-E72D297353CC}">
                <c16:uniqueId val="{00000002-CA5D-4086-A0DC-6C14EFF39618}"/>
              </c:ext>
            </c:extLst>
          </c:dPt>
          <c:dPt>
            <c:idx val="2"/>
            <c:bubble3D val="0"/>
            <c:spPr>
              <a:solidFill>
                <a:schemeClr val="accent6">
                  <a:lumMod val="40000"/>
                  <a:lumOff val="60000"/>
                </a:schemeClr>
              </a:solidFill>
              <a:ln w="25400">
                <a:noFill/>
              </a:ln>
              <a:effectLst/>
            </c:spPr>
            <c:extLst>
              <c:ext xmlns:c16="http://schemas.microsoft.com/office/drawing/2014/chart" uri="{C3380CC4-5D6E-409C-BE32-E72D297353CC}">
                <c16:uniqueId val="{00000003-CA5D-4086-A0DC-6C14EFF39618}"/>
              </c:ext>
            </c:extLst>
          </c:dPt>
          <c:dPt>
            <c:idx val="3"/>
            <c:bubble3D val="0"/>
            <c:spPr>
              <a:solidFill>
                <a:schemeClr val="accent4">
                  <a:lumMod val="20000"/>
                  <a:lumOff val="80000"/>
                </a:schemeClr>
              </a:solidFill>
              <a:ln w="25400">
                <a:noFill/>
              </a:ln>
              <a:effectLst/>
            </c:spPr>
            <c:extLst>
              <c:ext xmlns:c16="http://schemas.microsoft.com/office/drawing/2014/chart" uri="{C3380CC4-5D6E-409C-BE32-E72D297353CC}">
                <c16:uniqueId val="{00000004-CA5D-4086-A0DC-6C14EFF39618}"/>
              </c:ext>
            </c:extLst>
          </c:dPt>
          <c:dPt>
            <c:idx val="4"/>
            <c:bubble3D val="0"/>
            <c:spPr>
              <a:solidFill>
                <a:schemeClr val="accent4">
                  <a:lumMod val="40000"/>
                  <a:lumOff val="60000"/>
                </a:schemeClr>
              </a:solidFill>
              <a:ln w="25400">
                <a:noFill/>
              </a:ln>
              <a:effectLst/>
            </c:spPr>
            <c:extLst>
              <c:ext xmlns:c16="http://schemas.microsoft.com/office/drawing/2014/chart" uri="{C3380CC4-5D6E-409C-BE32-E72D297353CC}">
                <c16:uniqueId val="{00000005-CA5D-4086-A0DC-6C14EFF39618}"/>
              </c:ext>
            </c:extLst>
          </c:dPt>
          <c:dPt>
            <c:idx val="5"/>
            <c:bubble3D val="0"/>
            <c:spPr>
              <a:solidFill>
                <a:schemeClr val="accent4">
                  <a:lumMod val="60000"/>
                  <a:lumOff val="40000"/>
                </a:schemeClr>
              </a:solidFill>
              <a:ln w="25400">
                <a:noFill/>
              </a:ln>
              <a:effectLst/>
            </c:spPr>
            <c:extLst>
              <c:ext xmlns:c16="http://schemas.microsoft.com/office/drawing/2014/chart" uri="{C3380CC4-5D6E-409C-BE32-E72D297353CC}">
                <c16:uniqueId val="{00000006-CA5D-4086-A0DC-6C14EFF39618}"/>
              </c:ext>
            </c:extLst>
          </c:dPt>
          <c:dPt>
            <c:idx val="6"/>
            <c:bubble3D val="0"/>
            <c:spPr>
              <a:solidFill>
                <a:schemeClr val="accent6">
                  <a:lumMod val="50000"/>
                </a:schemeClr>
              </a:solidFill>
              <a:ln w="25400">
                <a:noFill/>
              </a:ln>
              <a:effectLst/>
            </c:spPr>
            <c:extLst>
              <c:ext xmlns:c16="http://schemas.microsoft.com/office/drawing/2014/chart" uri="{C3380CC4-5D6E-409C-BE32-E72D297353CC}">
                <c16:uniqueId val="{00000007-CA5D-4086-A0DC-6C14EFF39618}"/>
              </c:ext>
            </c:extLst>
          </c:dPt>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595959"/>
                    </a:solidFill>
                    <a:latin typeface="Helvetica Neue"/>
                    <a:ea typeface="Helvetica Neue"/>
                    <a:cs typeface="Helvetica Neue"/>
                  </a:defRPr>
                </a:pPr>
                <a:endParaRPr lang="en-US"/>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Analysis!$B$441:$B$447</c:f>
              <c:strCache>
                <c:ptCount val="7"/>
                <c:pt idx="0">
                  <c:v>Toast</c:v>
                </c:pt>
                <c:pt idx="1">
                  <c:v>Square</c:v>
                </c:pt>
                <c:pt idx="2">
                  <c:v>Shift 4</c:v>
                </c:pt>
                <c:pt idx="3">
                  <c:v>Lightspeed</c:v>
                </c:pt>
                <c:pt idx="4">
                  <c:v>Legacy 1</c:v>
                </c:pt>
                <c:pt idx="5">
                  <c:v>Legacy 2</c:v>
                </c:pt>
                <c:pt idx="6">
                  <c:v>Other</c:v>
                </c:pt>
              </c:strCache>
            </c:strRef>
          </c:cat>
          <c:val>
            <c:numRef>
              <c:f>Analysis!$C$441:$C$447</c:f>
              <c:numCache>
                <c:formatCode>0.0</c:formatCode>
                <c:ptCount val="7"/>
                <c:pt idx="0" formatCode="General">
                  <c:v>34.700000000000003</c:v>
                </c:pt>
                <c:pt idx="1">
                  <c:v>25.232465999999999</c:v>
                </c:pt>
                <c:pt idx="2">
                  <c:v>10.988999999999999</c:v>
                </c:pt>
                <c:pt idx="3">
                  <c:v>2.7720000000000002</c:v>
                </c:pt>
                <c:pt idx="4" formatCode="General">
                  <c:v>34.700000000000003</c:v>
                </c:pt>
                <c:pt idx="5">
                  <c:v>46.26666666666668</c:v>
                </c:pt>
                <c:pt idx="6">
                  <c:v>76.673200666666673</c:v>
                </c:pt>
              </c:numCache>
            </c:numRef>
          </c:val>
          <c:extLst>
            <c:ext xmlns:c16="http://schemas.microsoft.com/office/drawing/2014/chart" uri="{C3380CC4-5D6E-409C-BE32-E72D297353CC}">
              <c16:uniqueId val="{00000000-CA5D-4086-A0DC-6C14EFF39618}"/>
            </c:ext>
          </c:extLst>
        </c:ser>
        <c:dLbls>
          <c:showLegendKey val="0"/>
          <c:showVal val="0"/>
          <c:showCatName val="0"/>
          <c:showSerName val="0"/>
          <c:showPercent val="0"/>
          <c:showBubbleSize val="0"/>
          <c:showLeaderLines val="1"/>
        </c:dLbls>
        <c:firstSliceAng val="0"/>
      </c:pieChart>
      <c:spPr>
        <a:noFill/>
        <a:ln w="25400">
          <a:noFill/>
        </a:ln>
        <a:effectLst/>
      </c:spPr>
    </c:plotArea>
    <c:legend>
      <c:legendPos val="b"/>
      <c:layout>
        <c:manualLayout>
          <c:xMode val="edge"/>
          <c:yMode val="edge"/>
          <c:x val="0.1519373669016367"/>
          <c:y val="0.81069120267383843"/>
          <c:w val="0.69612526619672654"/>
          <c:h val="0.16295500071936872"/>
        </c:manualLayout>
      </c:layout>
      <c:overlay val="0"/>
      <c:spPr>
        <a:noFill/>
        <a:ln w="25400">
          <a:noFill/>
        </a:ln>
        <a:effectLst/>
      </c:spPr>
      <c:txPr>
        <a:bodyPr rot="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5267364667098452"/>
          <c:y val="5.1149752709069581E-2"/>
          <c:w val="0.55185920558451829"/>
          <c:h val="0.62799960163972124"/>
        </c:manualLayout>
      </c:layout>
      <c:pieChart>
        <c:varyColors val="1"/>
        <c:ser>
          <c:idx val="0"/>
          <c:order val="0"/>
          <c:dPt>
            <c:idx val="0"/>
            <c:bubble3D val="0"/>
            <c:explosion val="19"/>
            <c:spPr>
              <a:solidFill>
                <a:schemeClr val="accent6">
                  <a:lumMod val="50000"/>
                </a:schemeClr>
              </a:solidFill>
              <a:ln w="25400">
                <a:noFill/>
              </a:ln>
              <a:effectLst/>
            </c:spPr>
            <c:extLst>
              <c:ext xmlns:c16="http://schemas.microsoft.com/office/drawing/2014/chart" uri="{C3380CC4-5D6E-409C-BE32-E72D297353CC}">
                <c16:uniqueId val="{00000001-E216-4D2D-B994-E50DBB51AC2F}"/>
              </c:ext>
            </c:extLst>
          </c:dPt>
          <c:dPt>
            <c:idx val="1"/>
            <c:bubble3D val="0"/>
            <c:spPr>
              <a:solidFill>
                <a:schemeClr val="accent6">
                  <a:lumMod val="75000"/>
                </a:schemeClr>
              </a:solidFill>
              <a:ln w="25400">
                <a:noFill/>
              </a:ln>
              <a:effectLst/>
            </c:spPr>
            <c:extLst>
              <c:ext xmlns:c16="http://schemas.microsoft.com/office/drawing/2014/chart" uri="{C3380CC4-5D6E-409C-BE32-E72D297353CC}">
                <c16:uniqueId val="{00000002-E216-4D2D-B994-E50DBB51AC2F}"/>
              </c:ext>
            </c:extLst>
          </c:dPt>
          <c:dPt>
            <c:idx val="2"/>
            <c:bubble3D val="0"/>
            <c:spPr>
              <a:solidFill>
                <a:schemeClr val="accent6">
                  <a:lumMod val="60000"/>
                  <a:lumOff val="40000"/>
                </a:schemeClr>
              </a:solidFill>
              <a:ln w="25400">
                <a:noFill/>
              </a:ln>
              <a:effectLst/>
            </c:spPr>
            <c:extLst>
              <c:ext xmlns:c16="http://schemas.microsoft.com/office/drawing/2014/chart" uri="{C3380CC4-5D6E-409C-BE32-E72D297353CC}">
                <c16:uniqueId val="{00000003-E216-4D2D-B994-E50DBB51AC2F}"/>
              </c:ext>
            </c:extLst>
          </c:dPt>
          <c:dPt>
            <c:idx val="3"/>
            <c:bubble3D val="0"/>
            <c:spPr>
              <a:solidFill>
                <a:schemeClr val="accent6">
                  <a:lumMod val="20000"/>
                  <a:lumOff val="80000"/>
                </a:schemeClr>
              </a:solidFill>
              <a:ln w="25400">
                <a:noFill/>
              </a:ln>
              <a:effectLst/>
            </c:spPr>
            <c:extLst>
              <c:ext xmlns:c16="http://schemas.microsoft.com/office/drawing/2014/chart" uri="{C3380CC4-5D6E-409C-BE32-E72D297353CC}">
                <c16:uniqueId val="{00000004-E216-4D2D-B994-E50DBB51AC2F}"/>
              </c:ext>
            </c:extLst>
          </c:dPt>
          <c:dPt>
            <c:idx val="4"/>
            <c:bubble3D val="0"/>
            <c:spPr>
              <a:solidFill>
                <a:schemeClr val="accent4">
                  <a:lumMod val="20000"/>
                  <a:lumOff val="80000"/>
                </a:schemeClr>
              </a:solidFill>
              <a:ln w="25400">
                <a:noFill/>
              </a:ln>
              <a:effectLst/>
            </c:spPr>
            <c:extLst>
              <c:ext xmlns:c16="http://schemas.microsoft.com/office/drawing/2014/chart" uri="{C3380CC4-5D6E-409C-BE32-E72D297353CC}">
                <c16:uniqueId val="{00000005-E216-4D2D-B994-E50DBB51AC2F}"/>
              </c:ext>
            </c:extLst>
          </c:dPt>
          <c:dPt>
            <c:idx val="5"/>
            <c:bubble3D val="0"/>
            <c:spPr>
              <a:solidFill>
                <a:schemeClr val="accent4">
                  <a:lumMod val="40000"/>
                  <a:lumOff val="60000"/>
                </a:schemeClr>
              </a:solidFill>
              <a:ln w="25400">
                <a:noFill/>
              </a:ln>
              <a:effectLst/>
            </c:spPr>
            <c:extLst>
              <c:ext xmlns:c16="http://schemas.microsoft.com/office/drawing/2014/chart" uri="{C3380CC4-5D6E-409C-BE32-E72D297353CC}">
                <c16:uniqueId val="{00000006-E216-4D2D-B994-E50DBB51AC2F}"/>
              </c:ext>
            </c:extLst>
          </c:dPt>
          <c:dPt>
            <c:idx val="6"/>
            <c:bubble3D val="0"/>
            <c:spPr>
              <a:solidFill>
                <a:schemeClr val="accent4">
                  <a:lumMod val="60000"/>
                  <a:lumOff val="40000"/>
                </a:schemeClr>
              </a:solidFill>
              <a:ln w="25400">
                <a:noFill/>
              </a:ln>
              <a:effectLst/>
            </c:spPr>
            <c:extLst>
              <c:ext xmlns:c16="http://schemas.microsoft.com/office/drawing/2014/chart" uri="{C3380CC4-5D6E-409C-BE32-E72D297353CC}">
                <c16:uniqueId val="{00000007-E216-4D2D-B994-E50DBB51AC2F}"/>
              </c:ext>
            </c:extLst>
          </c:dPt>
          <c:dLbls>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FFFFFF"/>
                      </a:solidFill>
                      <a:latin typeface="Helvetica Neue"/>
                      <a:ea typeface="Helvetica Neue"/>
                      <a:cs typeface="Helvetica Neue"/>
                    </a:defRPr>
                  </a:pPr>
                  <a:endParaRPr lang="en-US"/>
                </a:p>
              </c:txPr>
              <c:showLegendKey val="0"/>
              <c:showVal val="1"/>
              <c:showCatName val="0"/>
              <c:showSerName val="0"/>
              <c:showPercent val="0"/>
              <c:showBubbleSize val="0"/>
              <c:extLst>
                <c:ext xmlns:c16="http://schemas.microsoft.com/office/drawing/2014/chart" uri="{C3380CC4-5D6E-409C-BE32-E72D297353CC}">
                  <c16:uniqueId val="{00000001-E216-4D2D-B994-E50DBB51AC2F}"/>
                </c:ext>
              </c:extLst>
            </c:dLbl>
            <c:dLbl>
              <c:idx val="1"/>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FFFFFF"/>
                      </a:solidFill>
                      <a:latin typeface="Helvetica Neue"/>
                      <a:ea typeface="Helvetica Neue"/>
                      <a:cs typeface="Helvetica Neue"/>
                    </a:defRPr>
                  </a:pPr>
                  <a:endParaRPr lang="en-US"/>
                </a:p>
              </c:txPr>
              <c:showLegendKey val="0"/>
              <c:showVal val="1"/>
              <c:showCatName val="0"/>
              <c:showSerName val="0"/>
              <c:showPercent val="0"/>
              <c:showBubbleSize val="0"/>
              <c:extLst>
                <c:ext xmlns:c16="http://schemas.microsoft.com/office/drawing/2014/chart" uri="{C3380CC4-5D6E-409C-BE32-E72D297353CC}">
                  <c16:uniqueId val="{00000002-E216-4D2D-B994-E50DBB51AC2F}"/>
                </c:ext>
              </c:extLst>
            </c:dLbl>
            <c:dLbl>
              <c:idx val="5"/>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FFFFFF"/>
                      </a:solidFill>
                      <a:latin typeface="Helvetica Neue"/>
                      <a:ea typeface="Helvetica Neue"/>
                      <a:cs typeface="Helvetica Neue"/>
                    </a:defRPr>
                  </a:pPr>
                  <a:endParaRPr lang="en-US"/>
                </a:p>
              </c:txPr>
              <c:showLegendKey val="0"/>
              <c:showVal val="1"/>
              <c:showCatName val="0"/>
              <c:showSerName val="0"/>
              <c:showPercent val="0"/>
              <c:showBubbleSize val="0"/>
              <c:extLst>
                <c:ext xmlns:c16="http://schemas.microsoft.com/office/drawing/2014/chart" uri="{C3380CC4-5D6E-409C-BE32-E72D297353CC}">
                  <c16:uniqueId val="{00000006-E216-4D2D-B994-E50DBB51AC2F}"/>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595959"/>
                    </a:solidFill>
                    <a:latin typeface="Helvetica Neue"/>
                    <a:ea typeface="Helvetica Neue"/>
                    <a:cs typeface="Helvetica Neue"/>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Analysis!$B$478:$B$484</c:f>
              <c:strCache>
                <c:ptCount val="7"/>
                <c:pt idx="0">
                  <c:v>Food and beverage</c:v>
                </c:pt>
                <c:pt idx="1">
                  <c:v>Retail</c:v>
                </c:pt>
                <c:pt idx="2">
                  <c:v>Professional services</c:v>
                </c:pt>
                <c:pt idx="3">
                  <c:v>Beauty</c:v>
                </c:pt>
                <c:pt idx="4">
                  <c:v>Health / fitness</c:v>
                </c:pt>
                <c:pt idx="5">
                  <c:v>Home &amp; repair</c:v>
                </c:pt>
                <c:pt idx="6">
                  <c:v>Other</c:v>
                </c:pt>
              </c:strCache>
            </c:strRef>
          </c:cat>
          <c:val>
            <c:numRef>
              <c:f>Analysis!$C$478:$C$484</c:f>
              <c:numCache>
                <c:formatCode>0%</c:formatCode>
                <c:ptCount val="7"/>
                <c:pt idx="0">
                  <c:v>0.32</c:v>
                </c:pt>
                <c:pt idx="1">
                  <c:v>0.18</c:v>
                </c:pt>
                <c:pt idx="2">
                  <c:v>0.11</c:v>
                </c:pt>
                <c:pt idx="3">
                  <c:v>0.1</c:v>
                </c:pt>
                <c:pt idx="4">
                  <c:v>0.09</c:v>
                </c:pt>
                <c:pt idx="5">
                  <c:v>0.08</c:v>
                </c:pt>
                <c:pt idx="6">
                  <c:v>0.12000000000000011</c:v>
                </c:pt>
              </c:numCache>
            </c:numRef>
          </c:val>
          <c:extLst>
            <c:ext xmlns:c16="http://schemas.microsoft.com/office/drawing/2014/chart" uri="{C3380CC4-5D6E-409C-BE32-E72D297353CC}">
              <c16:uniqueId val="{00000000-E216-4D2D-B994-E50DBB51AC2F}"/>
            </c:ext>
          </c:extLst>
        </c:ser>
        <c:dLbls>
          <c:showLegendKey val="0"/>
          <c:showVal val="0"/>
          <c:showCatName val="0"/>
          <c:showSerName val="0"/>
          <c:showPercent val="0"/>
          <c:showBubbleSize val="0"/>
          <c:showLeaderLines val="1"/>
        </c:dLbls>
        <c:firstSliceAng val="0"/>
      </c:pieChart>
      <c:spPr>
        <a:noFill/>
        <a:ln w="25400">
          <a:noFill/>
        </a:ln>
        <a:effectLst/>
      </c:spPr>
    </c:plotArea>
    <c:legend>
      <c:legendPos val="b"/>
      <c:layout>
        <c:manualLayout>
          <c:xMode val="edge"/>
          <c:yMode val="edge"/>
          <c:x val="7.1296172065761457E-2"/>
          <c:y val="0.70875543168633814"/>
          <c:w val="0.92870382793423856"/>
          <c:h val="0.26334470319962389"/>
        </c:manualLayout>
      </c:layout>
      <c:overlay val="0"/>
      <c:spPr>
        <a:noFill/>
        <a:ln w="25400">
          <a:noFill/>
        </a:ln>
        <a:effectLst/>
      </c:spPr>
      <c:txPr>
        <a:bodyPr rot="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Analysis!$B$463</c:f>
              <c:strCache>
                <c:ptCount val="1"/>
                <c:pt idx="0">
                  <c:v>Toast</c:v>
                </c:pt>
              </c:strCache>
            </c:strRef>
          </c:tx>
          <c:spPr>
            <a:solidFill>
              <a:schemeClr val="accent6">
                <a:lumMod val="60000"/>
                <a:lumOff val="40000"/>
              </a:schemeClr>
            </a:solidFill>
            <a:ln>
              <a:noFill/>
            </a:ln>
            <a:effectLst/>
            <a:extLst>
              <a:ext uri="{91240B29-F687-4F45-9708-019B960494DF}">
                <a14:hiddenLine xmlns:a14="http://schemas.microsoft.com/office/drawing/2010/main">
                  <a:noFill/>
                </a14:hiddenLine>
              </a:ext>
            </a:extLst>
          </c:spPr>
          <c:invertIfNegative val="0"/>
          <c:dPt>
            <c:idx val="0"/>
            <c:invertIfNegative val="0"/>
            <c:bubble3D val="0"/>
            <c:spPr>
              <a:solidFill>
                <a:schemeClr val="accent6">
                  <a:lumMod val="60000"/>
                  <a:lumOff val="40000"/>
                </a:schemeClr>
              </a:solidFill>
              <a:ln>
                <a:noFill/>
              </a:ln>
              <a:effectLst/>
              <a:extLst>
                <a:ext uri="{91240B29-F687-4F45-9708-019B960494DF}">
                  <a14:hiddenLine xmlns:a14="http://schemas.microsoft.com/office/drawing/2010/main">
                    <a:noFill/>
                  </a14:hiddenLine>
                </a:ext>
              </a:extLst>
            </c:spPr>
            <c:extLst>
              <c:ext xmlns:c16="http://schemas.microsoft.com/office/drawing/2014/chart" uri="{C3380CC4-5D6E-409C-BE32-E72D297353CC}">
                <c16:uniqueId val="{00000001-A01D-4AE2-B2C5-1500A4494689}"/>
              </c:ext>
            </c:extLst>
          </c:dPt>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Helvetica Neue"/>
                    <a:ea typeface="Helvetica Neue"/>
                    <a:cs typeface="Helvetica Neue"/>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Analysis!$D$462:$H$462</c:f>
              <c:numCache>
                <c:formatCode>General</c:formatCode>
                <c:ptCount val="5"/>
                <c:pt idx="0">
                  <c:v>2019</c:v>
                </c:pt>
                <c:pt idx="1">
                  <c:v>2020</c:v>
                </c:pt>
                <c:pt idx="2">
                  <c:v>2021</c:v>
                </c:pt>
                <c:pt idx="3">
                  <c:v>2022</c:v>
                </c:pt>
                <c:pt idx="4">
                  <c:v>2023</c:v>
                </c:pt>
              </c:numCache>
            </c:numRef>
          </c:cat>
          <c:val>
            <c:numRef>
              <c:f>Analysis!$D$463:$H$463</c:f>
              <c:numCache>
                <c:formatCode>0</c:formatCode>
                <c:ptCount val="5"/>
                <c:pt idx="0">
                  <c:v>21.8</c:v>
                </c:pt>
                <c:pt idx="1">
                  <c:v>25.204788909892883</c:v>
                </c:pt>
                <c:pt idx="2">
                  <c:v>56.710775047258991</c:v>
                </c:pt>
                <c:pt idx="3">
                  <c:v>91.304347826086968</c:v>
                </c:pt>
                <c:pt idx="4" formatCode="General">
                  <c:v>126</c:v>
                </c:pt>
              </c:numCache>
            </c:numRef>
          </c:val>
          <c:extLst>
            <c:ext xmlns:c16="http://schemas.microsoft.com/office/drawing/2014/chart" uri="{C3380CC4-5D6E-409C-BE32-E72D297353CC}">
              <c16:uniqueId val="{00000000-D256-4EC0-BA2C-92A4AFF4114E}"/>
            </c:ext>
          </c:extLst>
        </c:ser>
        <c:ser>
          <c:idx val="2"/>
          <c:order val="1"/>
          <c:tx>
            <c:strRef>
              <c:f>Analysis!$B$468</c:f>
              <c:strCache>
                <c:ptCount val="1"/>
                <c:pt idx="0">
                  <c:v>Square food and beverage</c:v>
                </c:pt>
              </c:strCache>
            </c:strRef>
          </c:tx>
          <c:spPr>
            <a:solidFill>
              <a:schemeClr val="accent4">
                <a:lumMod val="40000"/>
                <a:lumOff val="60000"/>
              </a:schemeClr>
            </a:solidFill>
            <a:ln>
              <a:noFill/>
            </a:ln>
            <a:effectLst/>
            <a:extLst>
              <a:ext uri="{91240B29-F687-4F45-9708-019B960494DF}">
                <a14:hiddenLine xmlns:a14="http://schemas.microsoft.com/office/drawing/2010/main">
                  <a:noFill/>
                </a14:hiddenLine>
              </a:ext>
            </a:ex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Helvetica Neue"/>
                    <a:ea typeface="Helvetica Neue"/>
                    <a:cs typeface="Helvetica Neue"/>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Analysis!$D$462:$H$462</c:f>
              <c:numCache>
                <c:formatCode>General</c:formatCode>
                <c:ptCount val="5"/>
                <c:pt idx="0">
                  <c:v>2019</c:v>
                </c:pt>
                <c:pt idx="1">
                  <c:v>2020</c:v>
                </c:pt>
                <c:pt idx="2">
                  <c:v>2021</c:v>
                </c:pt>
                <c:pt idx="3">
                  <c:v>2022</c:v>
                </c:pt>
                <c:pt idx="4">
                  <c:v>2023</c:v>
                </c:pt>
              </c:numCache>
            </c:numRef>
          </c:cat>
          <c:val>
            <c:numRef>
              <c:f>Analysis!$D$468:$H$468</c:f>
              <c:numCache>
                <c:formatCode>0</c:formatCode>
                <c:ptCount val="5"/>
                <c:pt idx="0">
                  <c:v>27.622140000000002</c:v>
                </c:pt>
                <c:pt idx="1">
                  <c:v>30.319650000000003</c:v>
                </c:pt>
                <c:pt idx="2">
                  <c:v>44.311999999999998</c:v>
                </c:pt>
                <c:pt idx="3">
                  <c:v>57.802600000000005</c:v>
                </c:pt>
                <c:pt idx="4">
                  <c:v>67.073017169279993</c:v>
                </c:pt>
              </c:numCache>
            </c:numRef>
          </c:val>
          <c:extLst>
            <c:ext xmlns:c16="http://schemas.microsoft.com/office/drawing/2014/chart" uri="{C3380CC4-5D6E-409C-BE32-E72D297353CC}">
              <c16:uniqueId val="{00000002-D256-4EC0-BA2C-92A4AFF4114E}"/>
            </c:ext>
          </c:extLst>
        </c:ser>
        <c:ser>
          <c:idx val="1"/>
          <c:order val="2"/>
          <c:tx>
            <c:strRef>
              <c:f>Analysis!$B$474</c:f>
              <c:strCache>
                <c:ptCount val="1"/>
                <c:pt idx="0">
                  <c:v>Shift 4 restaurants</c:v>
                </c:pt>
              </c:strCache>
            </c:strRef>
          </c:tx>
          <c:spPr>
            <a:solidFill>
              <a:schemeClr val="accent6">
                <a:lumMod val="75000"/>
              </a:schemeClr>
            </a:solidFill>
            <a:ln>
              <a:noFill/>
            </a:ln>
            <a:effectLst/>
          </c:spPr>
          <c:invertIfNegative val="0"/>
          <c:dLbls>
            <c:dLbl>
              <c:idx val="4"/>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256-4EC0-BA2C-92A4AFF4114E}"/>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Helvetica Neue"/>
                    <a:ea typeface="Helvetica Neue"/>
                    <a:cs typeface="Helvetica Neue"/>
                  </a:defRPr>
                </a:pPr>
                <a:endParaRPr lang="en-US"/>
              </a:p>
            </c:txPr>
            <c:dLblPos val="ct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Analysis!$D$462:$H$462</c:f>
              <c:numCache>
                <c:formatCode>General</c:formatCode>
                <c:ptCount val="5"/>
                <c:pt idx="0">
                  <c:v>2019</c:v>
                </c:pt>
                <c:pt idx="1">
                  <c:v>2020</c:v>
                </c:pt>
                <c:pt idx="2">
                  <c:v>2021</c:v>
                </c:pt>
                <c:pt idx="3">
                  <c:v>2022</c:v>
                </c:pt>
                <c:pt idx="4">
                  <c:v>2023</c:v>
                </c:pt>
              </c:numCache>
            </c:numRef>
          </c:cat>
          <c:val>
            <c:numRef>
              <c:f>Analysis!$D$474:$H$474</c:f>
              <c:numCache>
                <c:formatCode>General</c:formatCode>
                <c:ptCount val="5"/>
                <c:pt idx="4" formatCode="0">
                  <c:v>36.297000000000004</c:v>
                </c:pt>
              </c:numCache>
            </c:numRef>
          </c:val>
          <c:extLst>
            <c:ext xmlns:c16="http://schemas.microsoft.com/office/drawing/2014/chart" uri="{C3380CC4-5D6E-409C-BE32-E72D297353CC}">
              <c16:uniqueId val="{00000004-D256-4EC0-BA2C-92A4AFF4114E}"/>
            </c:ext>
          </c:extLst>
        </c:ser>
        <c:dLbls>
          <c:showLegendKey val="0"/>
          <c:showVal val="0"/>
          <c:showCatName val="0"/>
          <c:showSerName val="0"/>
          <c:showPercent val="0"/>
          <c:showBubbleSize val="0"/>
        </c:dLbls>
        <c:gapWidth val="30"/>
        <c:overlap val="-27"/>
        <c:axId val="1222412416"/>
        <c:axId val="1222422016"/>
      </c:barChart>
      <c:catAx>
        <c:axId val="1222412416"/>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1222422016"/>
        <c:crosses val="autoZero"/>
        <c:auto val="1"/>
        <c:lblAlgn val="ctr"/>
        <c:lblOffset val="100"/>
        <c:noMultiLvlLbl val="0"/>
      </c:catAx>
      <c:valAx>
        <c:axId val="1222422016"/>
        <c:scaling>
          <c:orientation val="minMax"/>
        </c:scaling>
        <c:delete val="1"/>
        <c:axPos val="l"/>
        <c:numFmt formatCode="0" sourceLinked="1"/>
        <c:majorTickMark val="out"/>
        <c:minorTickMark val="none"/>
        <c:tickLblPos val="nextTo"/>
        <c:crossAx val="1222412416"/>
        <c:crosses val="autoZero"/>
        <c:crossBetween val="between"/>
      </c:val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5525273283422112"/>
          <c:y val="3.9847224720811474E-2"/>
          <c:w val="0.51360860872220226"/>
          <c:h val="0.66390019788826937"/>
        </c:manualLayout>
      </c:layout>
      <c:pieChart>
        <c:varyColors val="1"/>
        <c:ser>
          <c:idx val="0"/>
          <c:order val="0"/>
          <c:dPt>
            <c:idx val="0"/>
            <c:bubble3D val="0"/>
            <c:explosion val="14"/>
            <c:spPr>
              <a:solidFill>
                <a:schemeClr val="accent6">
                  <a:lumMod val="75000"/>
                </a:schemeClr>
              </a:solidFill>
              <a:ln w="25400">
                <a:noFill/>
              </a:ln>
              <a:effectLst/>
            </c:spPr>
            <c:extLst>
              <c:ext xmlns:c16="http://schemas.microsoft.com/office/drawing/2014/chart" uri="{C3380CC4-5D6E-409C-BE32-E72D297353CC}">
                <c16:uniqueId val="{00000001-4889-4E81-A989-5B04BDF95EDD}"/>
              </c:ext>
            </c:extLst>
          </c:dPt>
          <c:dPt>
            <c:idx val="1"/>
            <c:bubble3D val="0"/>
            <c:spPr>
              <a:solidFill>
                <a:schemeClr val="accent4">
                  <a:lumMod val="60000"/>
                  <a:lumOff val="40000"/>
                </a:schemeClr>
              </a:solidFill>
              <a:ln w="25400">
                <a:noFill/>
              </a:ln>
              <a:effectLst/>
            </c:spPr>
            <c:extLst>
              <c:ext xmlns:c16="http://schemas.microsoft.com/office/drawing/2014/chart" uri="{C3380CC4-5D6E-409C-BE32-E72D297353CC}">
                <c16:uniqueId val="{00000002-4889-4E81-A989-5B04BDF95EDD}"/>
              </c:ext>
            </c:extLst>
          </c:dPt>
          <c:dPt>
            <c:idx val="2"/>
            <c:bubble3D val="0"/>
            <c:spPr>
              <a:solidFill>
                <a:schemeClr val="accent6">
                  <a:lumMod val="60000"/>
                  <a:lumOff val="40000"/>
                </a:schemeClr>
              </a:solidFill>
              <a:ln w="25400">
                <a:noFill/>
              </a:ln>
              <a:effectLst/>
            </c:spPr>
            <c:extLst>
              <c:ext xmlns:c16="http://schemas.microsoft.com/office/drawing/2014/chart" uri="{C3380CC4-5D6E-409C-BE32-E72D297353CC}">
                <c16:uniqueId val="{00000003-4889-4E81-A989-5B04BDF95EDD}"/>
              </c:ext>
            </c:extLst>
          </c:dPt>
          <c:dPt>
            <c:idx val="3"/>
            <c:bubble3D val="0"/>
            <c:spPr>
              <a:solidFill>
                <a:schemeClr val="accent3">
                  <a:lumMod val="60000"/>
                  <a:lumOff val="40000"/>
                </a:schemeClr>
              </a:solidFill>
              <a:ln w="25400">
                <a:noFill/>
              </a:ln>
              <a:effectLst/>
            </c:spPr>
            <c:extLst>
              <c:ext xmlns:c16="http://schemas.microsoft.com/office/drawing/2014/chart" uri="{C3380CC4-5D6E-409C-BE32-E72D297353CC}">
                <c16:uniqueId val="{00000004-4889-4E81-A989-5B04BDF95EDD}"/>
              </c:ext>
            </c:extLst>
          </c:dPt>
          <c:dPt>
            <c:idx val="4"/>
            <c:bubble3D val="0"/>
            <c:spPr>
              <a:solidFill>
                <a:schemeClr val="accent6">
                  <a:lumMod val="40000"/>
                  <a:lumOff val="60000"/>
                </a:schemeClr>
              </a:solidFill>
              <a:ln w="25400">
                <a:noFill/>
              </a:ln>
              <a:effectLst/>
            </c:spPr>
            <c:extLst>
              <c:ext xmlns:c16="http://schemas.microsoft.com/office/drawing/2014/chart" uri="{C3380CC4-5D6E-409C-BE32-E72D297353CC}">
                <c16:uniqueId val="{00000005-4889-4E81-A989-5B04BDF95EDD}"/>
              </c:ext>
            </c:extLst>
          </c:dPt>
          <c:dPt>
            <c:idx val="5"/>
            <c:bubble3D val="0"/>
            <c:spPr>
              <a:solidFill>
                <a:schemeClr val="accent4">
                  <a:lumMod val="20000"/>
                  <a:lumOff val="80000"/>
                </a:schemeClr>
              </a:solidFill>
              <a:ln w="25400">
                <a:noFill/>
              </a:ln>
              <a:effectLst/>
            </c:spPr>
            <c:extLst>
              <c:ext xmlns:c16="http://schemas.microsoft.com/office/drawing/2014/chart" uri="{C3380CC4-5D6E-409C-BE32-E72D297353CC}">
                <c16:uniqueId val="{00000006-4889-4E81-A989-5B04BDF95EDD}"/>
              </c:ext>
            </c:extLst>
          </c:dPt>
          <c:dPt>
            <c:idx val="6"/>
            <c:bubble3D val="0"/>
            <c:spPr>
              <a:solidFill>
                <a:srgbClr val="B0BEC5"/>
              </a:solidFill>
              <a:ln w="25400">
                <a:noFill/>
              </a:ln>
              <a:effectLst/>
            </c:spPr>
            <c:extLst>
              <c:ext xmlns:c16="http://schemas.microsoft.com/office/drawing/2014/chart" uri="{C3380CC4-5D6E-409C-BE32-E72D297353CC}">
                <c16:uniqueId val="{00000007-4889-4E81-A989-5B04BDF95EDD}"/>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FFFFFF"/>
                      </a:solidFill>
                      <a:latin typeface="Helvetica Neue"/>
                      <a:ea typeface="Helvetica Neue"/>
                      <a:cs typeface="Helvetica Neue"/>
                    </a:defRPr>
                  </a:pPr>
                  <a:endParaRPr lang="en-US"/>
                </a:p>
              </c:txPr>
              <c:showLegendKey val="0"/>
              <c:showVal val="1"/>
              <c:showCatName val="0"/>
              <c:showSerName val="0"/>
              <c:showPercent val="0"/>
              <c:showBubbleSize val="0"/>
              <c:extLst>
                <c:ext xmlns:c16="http://schemas.microsoft.com/office/drawing/2014/chart" uri="{C3380CC4-5D6E-409C-BE32-E72D297353CC}">
                  <c16:uniqueId val="{00000001-4889-4E81-A989-5B04BDF95EDD}"/>
                </c:ext>
              </c:extLst>
            </c:dLbl>
            <c:dLbl>
              <c:idx val="1"/>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FFFFFF"/>
                      </a:solidFill>
                      <a:latin typeface="Helvetica Neue"/>
                      <a:ea typeface="Helvetica Neue"/>
                      <a:cs typeface="Helvetica Neue"/>
                    </a:defRPr>
                  </a:pPr>
                  <a:endParaRPr lang="en-US"/>
                </a:p>
              </c:txPr>
              <c:showLegendKey val="0"/>
              <c:showVal val="1"/>
              <c:showCatName val="0"/>
              <c:showSerName val="0"/>
              <c:showPercent val="0"/>
              <c:showBubbleSize val="0"/>
              <c:extLst>
                <c:ext xmlns:c16="http://schemas.microsoft.com/office/drawing/2014/chart" uri="{C3380CC4-5D6E-409C-BE32-E72D297353CC}">
                  <c16:uniqueId val="{00000002-4889-4E81-A989-5B04BDF95EDD}"/>
                </c:ext>
              </c:extLst>
            </c:dLbl>
            <c:dLbl>
              <c:idx val="5"/>
              <c:layout>
                <c:manualLayout>
                  <c:x val="-1.3917879605580247E-2"/>
                  <c:y val="1.8752058453150294E-2"/>
                </c:manualLayout>
              </c:layout>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Helvetica Neue"/>
                      <a:ea typeface="Helvetica Neue"/>
                      <a:cs typeface="Helvetica Neue"/>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889-4E81-A989-5B04BDF95EDD}"/>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595959"/>
                    </a:solidFill>
                    <a:latin typeface="Helvetica Neue"/>
                    <a:ea typeface="Helvetica Neue"/>
                    <a:cs typeface="Helvetica Neue"/>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Valuation!$M$58:$M$64</c:f>
              <c:strCache>
                <c:ptCount val="7"/>
                <c:pt idx="0">
                  <c:v>Cash App fin services</c:v>
                </c:pt>
                <c:pt idx="1">
                  <c:v>Payments / software</c:v>
                </c:pt>
                <c:pt idx="2">
                  <c:v>BNPL (Afterpay)</c:v>
                </c:pt>
                <c:pt idx="3">
                  <c:v>Square fin services</c:v>
                </c:pt>
                <c:pt idx="4">
                  <c:v>Cash App core</c:v>
                </c:pt>
                <c:pt idx="5">
                  <c:v>Bitcoin</c:v>
                </c:pt>
                <c:pt idx="6">
                  <c:v>Central</c:v>
                </c:pt>
              </c:strCache>
            </c:strRef>
          </c:cat>
          <c:val>
            <c:numRef>
              <c:f>Valuation!$N$58:$N$64</c:f>
              <c:numCache>
                <c:formatCode>0%</c:formatCode>
                <c:ptCount val="7"/>
                <c:pt idx="0">
                  <c:v>0.41293436759340724</c:v>
                </c:pt>
                <c:pt idx="1">
                  <c:v>0.22400508987278758</c:v>
                </c:pt>
                <c:pt idx="2">
                  <c:v>9.8181506539387495E-2</c:v>
                </c:pt>
                <c:pt idx="3">
                  <c:v>0.11679307876706732</c:v>
                </c:pt>
                <c:pt idx="4">
                  <c:v>7.2030656602759632E-2</c:v>
                </c:pt>
                <c:pt idx="5">
                  <c:v>6.6553841342680928E-2</c:v>
                </c:pt>
                <c:pt idx="6">
                  <c:v>9.5014592819092341E-3</c:v>
                </c:pt>
              </c:numCache>
            </c:numRef>
          </c:val>
          <c:extLst>
            <c:ext xmlns:c16="http://schemas.microsoft.com/office/drawing/2014/chart" uri="{C3380CC4-5D6E-409C-BE32-E72D297353CC}">
              <c16:uniqueId val="{00000000-4889-4E81-A989-5B04BDF95EDD}"/>
            </c:ext>
          </c:extLst>
        </c:ser>
        <c:dLbls>
          <c:showLegendKey val="0"/>
          <c:showVal val="0"/>
          <c:showCatName val="0"/>
          <c:showSerName val="0"/>
          <c:showPercent val="0"/>
          <c:showBubbleSize val="0"/>
          <c:showLeaderLines val="1"/>
        </c:dLbls>
        <c:firstSliceAng val="0"/>
      </c:pieChart>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6">
                <a:lumMod val="60000"/>
                <a:lumOff val="40000"/>
              </a:schemeClr>
            </a:solidFill>
            <a:ln>
              <a:noFill/>
            </a:ln>
            <a:effectLst/>
            <a:extLst>
              <a:ext uri="{91240B29-F687-4F45-9708-019B960494DF}">
                <a14:hiddenLine xmlns:a14="http://schemas.microsoft.com/office/drawing/2010/main">
                  <a:noFill/>
                </a14:hiddenLine>
              </a:ext>
            </a:ex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595959"/>
                    </a:solidFill>
                    <a:latin typeface="Helvetica Neue"/>
                    <a:ea typeface="Helvetica Neue"/>
                    <a:cs typeface="Helvetica Neue"/>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Analysis!$C$492</c:f>
              <c:numCache>
                <c:formatCode>0%</c:formatCode>
                <c:ptCount val="1"/>
                <c:pt idx="0">
                  <c:v>-0.03</c:v>
                </c:pt>
              </c:numCache>
            </c:numRef>
          </c:val>
          <c:extLst>
            <c:ext xmlns:c16="http://schemas.microsoft.com/office/drawing/2014/chart" uri="{C3380CC4-5D6E-409C-BE32-E72D297353CC}">
              <c16:uniqueId val="{00000000-5673-4B1D-BCA6-F77C88886B6C}"/>
            </c:ext>
          </c:extLst>
        </c:ser>
        <c:dLbls>
          <c:showLegendKey val="0"/>
          <c:showVal val="0"/>
          <c:showCatName val="0"/>
          <c:showSerName val="0"/>
          <c:showPercent val="0"/>
          <c:showBubbleSize val="0"/>
        </c:dLbls>
        <c:gapWidth val="30"/>
        <c:overlap val="-27"/>
        <c:axId val="852318608"/>
        <c:axId val="852357008"/>
      </c:barChart>
      <c:catAx>
        <c:axId val="852318608"/>
        <c:scaling>
          <c:orientation val="minMax"/>
        </c:scaling>
        <c:delete val="1"/>
        <c:axPos val="b"/>
        <c:majorTickMark val="out"/>
        <c:minorTickMark val="none"/>
        <c:tickLblPos val="nextTo"/>
        <c:crossAx val="852357008"/>
        <c:crosses val="autoZero"/>
        <c:auto val="1"/>
        <c:lblAlgn val="ctr"/>
        <c:lblOffset val="100"/>
        <c:noMultiLvlLbl val="0"/>
      </c:catAx>
      <c:valAx>
        <c:axId val="852357008"/>
        <c:scaling>
          <c:orientation val="minMax"/>
          <c:min val="-0.1"/>
        </c:scaling>
        <c:delete val="0"/>
        <c:axPos val="l"/>
        <c:numFmt formatCode="0%" sourceLinked="1"/>
        <c:majorTickMark val="out"/>
        <c:minorTickMark val="none"/>
        <c:tickLblPos val="nextTo"/>
        <c:spPr>
          <a:noFill/>
          <a:ln>
            <a:solidFill>
              <a:srgbClr val="B3B3B3"/>
            </a:solidFill>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852318608"/>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Analysis!$B$509</c:f>
              <c:strCache>
                <c:ptCount val="1"/>
                <c:pt idx="0">
                  <c:v>Sidecar payments</c:v>
                </c:pt>
              </c:strCache>
            </c:strRef>
          </c:tx>
          <c:spPr>
            <a:solidFill>
              <a:schemeClr val="accent5">
                <a:lumMod val="60000"/>
                <a:lumOff val="40000"/>
              </a:schemeClr>
            </a:solidFill>
            <a:ln>
              <a:noFill/>
            </a:ln>
            <a:effectLst/>
            <a:extLst>
              <a:ext uri="{91240B29-F687-4F45-9708-019B960494DF}">
                <a14:hiddenLine xmlns:a14="http://schemas.microsoft.com/office/drawing/2010/main">
                  <a:noFill/>
                </a14:hiddenLine>
              </a:ext>
            </a:ex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FFFFFF"/>
                    </a:solidFill>
                    <a:latin typeface="Helvetica Neue"/>
                    <a:ea typeface="Helvetica Neue"/>
                    <a:cs typeface="Helvetica Neue"/>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Analysis!$C$508:$D$508</c:f>
              <c:strCache>
                <c:ptCount val="2"/>
                <c:pt idx="0">
                  <c:v>Q2 23</c:v>
                </c:pt>
                <c:pt idx="1">
                  <c:v>Q2 24</c:v>
                </c:pt>
              </c:strCache>
            </c:strRef>
          </c:cat>
          <c:val>
            <c:numRef>
              <c:f>Analysis!$C$509:$D$509</c:f>
              <c:numCache>
                <c:formatCode>#,##0</c:formatCode>
                <c:ptCount val="2"/>
                <c:pt idx="0">
                  <c:v>186.48</c:v>
                </c:pt>
                <c:pt idx="1">
                  <c:v>184.51679999999999</c:v>
                </c:pt>
              </c:numCache>
            </c:numRef>
          </c:val>
          <c:extLst>
            <c:ext xmlns:c16="http://schemas.microsoft.com/office/drawing/2014/chart" uri="{C3380CC4-5D6E-409C-BE32-E72D297353CC}">
              <c16:uniqueId val="{00000000-92FF-42B8-8C28-DFF06EDE27B6}"/>
            </c:ext>
          </c:extLst>
        </c:ser>
        <c:ser>
          <c:idx val="1"/>
          <c:order val="1"/>
          <c:tx>
            <c:strRef>
              <c:f>Analysis!$B$510</c:f>
              <c:strCache>
                <c:ptCount val="1"/>
                <c:pt idx="0">
                  <c:v>Integrated Payments/software / banking</c:v>
                </c:pt>
              </c:strCache>
            </c:strRef>
          </c:tx>
          <c:spPr>
            <a:solidFill>
              <a:schemeClr val="accent4">
                <a:lumMod val="60000"/>
                <a:lumOff val="40000"/>
              </a:schemeClr>
            </a:solidFill>
            <a:ln>
              <a:noFill/>
            </a:ln>
            <a:effectLst/>
            <a:extLst>
              <a:ext uri="{91240B29-F687-4F45-9708-019B960494DF}">
                <a14:hiddenLine xmlns:a14="http://schemas.microsoft.com/office/drawing/2010/main">
                  <a:noFill/>
                </a14:hiddenLine>
              </a:ext>
            </a:ex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FFFFFF"/>
                    </a:solidFill>
                    <a:latin typeface="Helvetica Neue"/>
                    <a:ea typeface="Helvetica Neue"/>
                    <a:cs typeface="Helvetica Neue"/>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Analysis!$C$508:$D$508</c:f>
              <c:strCache>
                <c:ptCount val="2"/>
                <c:pt idx="0">
                  <c:v>Q2 23</c:v>
                </c:pt>
                <c:pt idx="1">
                  <c:v>Q2 24</c:v>
                </c:pt>
              </c:strCache>
            </c:strRef>
          </c:cat>
          <c:val>
            <c:numRef>
              <c:f>Analysis!$C$510:$D$510</c:f>
              <c:numCache>
                <c:formatCode>#,##0</c:formatCode>
                <c:ptCount val="2"/>
                <c:pt idx="0">
                  <c:v>617.553</c:v>
                </c:pt>
                <c:pt idx="1">
                  <c:v>738.06719999999996</c:v>
                </c:pt>
              </c:numCache>
            </c:numRef>
          </c:val>
          <c:extLst>
            <c:ext xmlns:c16="http://schemas.microsoft.com/office/drawing/2014/chart" uri="{C3380CC4-5D6E-409C-BE32-E72D297353CC}">
              <c16:uniqueId val="{00000001-92FF-42B8-8C28-DFF06EDE27B6}"/>
            </c:ext>
          </c:extLst>
        </c:ser>
        <c:dLbls>
          <c:showLegendKey val="0"/>
          <c:showVal val="0"/>
          <c:showCatName val="0"/>
          <c:showSerName val="0"/>
          <c:showPercent val="0"/>
          <c:showBubbleSize val="0"/>
        </c:dLbls>
        <c:gapWidth val="30"/>
        <c:overlap val="100"/>
        <c:axId val="879066976"/>
        <c:axId val="879063136"/>
      </c:barChart>
      <c:catAx>
        <c:axId val="879066976"/>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879063136"/>
        <c:crosses val="autoZero"/>
        <c:auto val="1"/>
        <c:lblAlgn val="ctr"/>
        <c:lblOffset val="100"/>
        <c:noMultiLvlLbl val="0"/>
      </c:catAx>
      <c:valAx>
        <c:axId val="879063136"/>
        <c:scaling>
          <c:orientation val="minMax"/>
        </c:scaling>
        <c:delete val="1"/>
        <c:axPos val="l"/>
        <c:numFmt formatCode="#,##0" sourceLinked="1"/>
        <c:majorTickMark val="out"/>
        <c:minorTickMark val="none"/>
        <c:tickLblPos val="nextTo"/>
        <c:crossAx val="879066976"/>
        <c:crosses val="autoZero"/>
        <c:crossBetween val="between"/>
      </c:val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Analysis!$B$535</c:f>
              <c:strCache>
                <c:ptCount val="1"/>
                <c:pt idx="0">
                  <c:v>Block FCF</c:v>
                </c:pt>
              </c:strCache>
            </c:strRef>
          </c:tx>
          <c:spPr>
            <a:solidFill>
              <a:schemeClr val="accent3">
                <a:lumMod val="60000"/>
                <a:lumOff val="40000"/>
              </a:schemeClr>
            </a:solidFill>
            <a:ln>
              <a:noFill/>
            </a:ln>
            <a:effectLst/>
            <a:extLst>
              <a:ext uri="{91240B29-F687-4F45-9708-019B960494DF}">
                <a14:hiddenLine xmlns:a14="http://schemas.microsoft.com/office/drawing/2010/main">
                  <a:noFill/>
                </a14:hiddenLine>
              </a:ext>
            </a:extLst>
          </c:spPr>
          <c:invertIfNegative val="0"/>
          <c:cat>
            <c:numRef>
              <c:f>Analysis!$C$534:$H$534</c:f>
              <c:numCache>
                <c:formatCode>General</c:formatCode>
                <c:ptCount val="6"/>
                <c:pt idx="0">
                  <c:v>2023</c:v>
                </c:pt>
                <c:pt idx="1">
                  <c:v>2024</c:v>
                </c:pt>
                <c:pt idx="2">
                  <c:v>2025</c:v>
                </c:pt>
                <c:pt idx="3">
                  <c:v>2026</c:v>
                </c:pt>
                <c:pt idx="4">
                  <c:v>2027</c:v>
                </c:pt>
                <c:pt idx="5">
                  <c:v>2028</c:v>
                </c:pt>
              </c:numCache>
            </c:numRef>
          </c:cat>
          <c:val>
            <c:numRef>
              <c:f>Analysis!$C$535:$H$535</c:f>
              <c:numCache>
                <c:formatCode>#,##0</c:formatCode>
                <c:ptCount val="6"/>
                <c:pt idx="0">
                  <c:v>513.42499999999973</c:v>
                </c:pt>
                <c:pt idx="1">
                  <c:v>1939.9205358470786</c:v>
                </c:pt>
                <c:pt idx="2">
                  <c:v>2650.0045856726201</c:v>
                </c:pt>
                <c:pt idx="3">
                  <c:v>3389.6156961287684</c:v>
                </c:pt>
                <c:pt idx="4">
                  <c:v>3829.5688318540124</c:v>
                </c:pt>
                <c:pt idx="5">
                  <c:v>4360.7916135380174</c:v>
                </c:pt>
              </c:numCache>
            </c:numRef>
          </c:val>
          <c:extLst>
            <c:ext xmlns:c16="http://schemas.microsoft.com/office/drawing/2014/chart" uri="{C3380CC4-5D6E-409C-BE32-E72D297353CC}">
              <c16:uniqueId val="{00000000-BE00-48C4-B138-62F17E9F693E}"/>
            </c:ext>
          </c:extLst>
        </c:ser>
        <c:ser>
          <c:idx val="1"/>
          <c:order val="1"/>
          <c:tx>
            <c:strRef>
              <c:f>Analysis!$B$536</c:f>
              <c:strCache>
                <c:ptCount val="1"/>
                <c:pt idx="0">
                  <c:v>PayPal FCF</c:v>
                </c:pt>
              </c:strCache>
            </c:strRef>
          </c:tx>
          <c:spPr>
            <a:solidFill>
              <a:schemeClr val="accent6">
                <a:lumMod val="60000"/>
                <a:lumOff val="40000"/>
              </a:schemeClr>
            </a:solidFill>
            <a:ln>
              <a:noFill/>
            </a:ln>
            <a:effectLst/>
            <a:extLst>
              <a:ext uri="{91240B29-F687-4F45-9708-019B960494DF}">
                <a14:hiddenLine xmlns:a14="http://schemas.microsoft.com/office/drawing/2010/main">
                  <a:noFill/>
                </a14:hiddenLine>
              </a:ext>
            </a:extLst>
          </c:spPr>
          <c:invertIfNegative val="0"/>
          <c:cat>
            <c:numRef>
              <c:f>Analysis!$C$534:$H$534</c:f>
              <c:numCache>
                <c:formatCode>General</c:formatCode>
                <c:ptCount val="6"/>
                <c:pt idx="0">
                  <c:v>2023</c:v>
                </c:pt>
                <c:pt idx="1">
                  <c:v>2024</c:v>
                </c:pt>
                <c:pt idx="2">
                  <c:v>2025</c:v>
                </c:pt>
                <c:pt idx="3">
                  <c:v>2026</c:v>
                </c:pt>
                <c:pt idx="4">
                  <c:v>2027</c:v>
                </c:pt>
                <c:pt idx="5">
                  <c:v>2028</c:v>
                </c:pt>
              </c:numCache>
            </c:numRef>
          </c:cat>
          <c:val>
            <c:numRef>
              <c:f>Analysis!$C$536:$H$536</c:f>
              <c:numCache>
                <c:formatCode>#,##0</c:formatCode>
                <c:ptCount val="6"/>
                <c:pt idx="0">
                  <c:v>4221</c:v>
                </c:pt>
                <c:pt idx="1">
                  <c:v>6022.5760894350806</c:v>
                </c:pt>
                <c:pt idx="2">
                  <c:v>6518.2772092714813</c:v>
                </c:pt>
                <c:pt idx="3">
                  <c:v>6986.3708426197481</c:v>
                </c:pt>
                <c:pt idx="4">
                  <c:v>7416.8264682841809</c:v>
                </c:pt>
                <c:pt idx="5">
                  <c:v>7956.0369946419723</c:v>
                </c:pt>
              </c:numCache>
            </c:numRef>
          </c:val>
          <c:extLst>
            <c:ext xmlns:c16="http://schemas.microsoft.com/office/drawing/2014/chart" uri="{C3380CC4-5D6E-409C-BE32-E72D297353CC}">
              <c16:uniqueId val="{00000001-BE00-48C4-B138-62F17E9F693E}"/>
            </c:ext>
          </c:extLst>
        </c:ser>
        <c:dLbls>
          <c:showLegendKey val="0"/>
          <c:showVal val="0"/>
          <c:showCatName val="0"/>
          <c:showSerName val="0"/>
          <c:showPercent val="0"/>
          <c:showBubbleSize val="0"/>
        </c:dLbls>
        <c:gapWidth val="30"/>
        <c:overlap val="-27"/>
        <c:axId val="1238669519"/>
        <c:axId val="1238683439"/>
      </c:barChart>
      <c:lineChart>
        <c:grouping val="standard"/>
        <c:varyColors val="0"/>
        <c:ser>
          <c:idx val="2"/>
          <c:order val="2"/>
          <c:tx>
            <c:strRef>
              <c:f>Analysis!$B$539</c:f>
              <c:strCache>
                <c:ptCount val="1"/>
                <c:pt idx="0">
                  <c:v>Block yield</c:v>
                </c:pt>
              </c:strCache>
            </c:strRef>
          </c:tx>
          <c:spPr>
            <a:ln w="28575" cap="rnd">
              <a:noFill/>
              <a:round/>
            </a:ln>
            <a:effectLst/>
          </c:spPr>
          <c:marker>
            <c:symbol val="square"/>
            <c:size val="8"/>
            <c:spPr>
              <a:solidFill>
                <a:schemeClr val="accent3">
                  <a:lumMod val="60000"/>
                  <a:lumOff val="40000"/>
                </a:schemeClr>
              </a:solidFill>
              <a:ln w="9525">
                <a:solidFill>
                  <a:schemeClr val="accent3">
                    <a:lumMod val="60000"/>
                    <a:lumOff val="40000"/>
                  </a:schemeClr>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595959"/>
                    </a:solidFill>
                    <a:latin typeface="Helvetica Neue"/>
                    <a:ea typeface="Helvetica Neue"/>
                    <a:cs typeface="Helvetica Neue"/>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Analysis!$C$534:$H$534</c:f>
              <c:numCache>
                <c:formatCode>General</c:formatCode>
                <c:ptCount val="6"/>
                <c:pt idx="0">
                  <c:v>2023</c:v>
                </c:pt>
                <c:pt idx="1">
                  <c:v>2024</c:v>
                </c:pt>
                <c:pt idx="2">
                  <c:v>2025</c:v>
                </c:pt>
                <c:pt idx="3">
                  <c:v>2026</c:v>
                </c:pt>
                <c:pt idx="4">
                  <c:v>2027</c:v>
                </c:pt>
                <c:pt idx="5">
                  <c:v>2028</c:v>
                </c:pt>
              </c:numCache>
            </c:numRef>
          </c:cat>
          <c:val>
            <c:numRef>
              <c:f>Analysis!$C$539:$H$539</c:f>
              <c:numCache>
                <c:formatCode>0.0%</c:formatCode>
                <c:ptCount val="6"/>
                <c:pt idx="0">
                  <c:v>1.3343229192395433E-2</c:v>
                </c:pt>
                <c:pt idx="1">
                  <c:v>5.0415940643408763E-2</c:v>
                </c:pt>
                <c:pt idx="2">
                  <c:v>6.8434409602252971E-2</c:v>
                </c:pt>
                <c:pt idx="3">
                  <c:v>8.78120654786268E-2</c:v>
                </c:pt>
                <c:pt idx="4">
                  <c:v>0.10113498247199476</c:v>
                </c:pt>
                <c:pt idx="5">
                  <c:v>0.11841984900631024</c:v>
                </c:pt>
              </c:numCache>
            </c:numRef>
          </c:val>
          <c:smooth val="0"/>
          <c:extLst>
            <c:ext xmlns:c16="http://schemas.microsoft.com/office/drawing/2014/chart" uri="{C3380CC4-5D6E-409C-BE32-E72D297353CC}">
              <c16:uniqueId val="{00000002-BE00-48C4-B138-62F17E9F693E}"/>
            </c:ext>
          </c:extLst>
        </c:ser>
        <c:ser>
          <c:idx val="3"/>
          <c:order val="3"/>
          <c:tx>
            <c:strRef>
              <c:f>Analysis!$B$540</c:f>
              <c:strCache>
                <c:ptCount val="1"/>
                <c:pt idx="0">
                  <c:v>PayPal yield</c:v>
                </c:pt>
              </c:strCache>
            </c:strRef>
          </c:tx>
          <c:spPr>
            <a:ln w="28575" cap="rnd">
              <a:noFill/>
              <a:round/>
            </a:ln>
            <a:effectLst/>
          </c:spPr>
          <c:marker>
            <c:symbol val="square"/>
            <c:size val="7"/>
            <c:spPr>
              <a:solidFill>
                <a:schemeClr val="accent6">
                  <a:lumMod val="60000"/>
                  <a:lumOff val="40000"/>
                </a:schemeClr>
              </a:solidFill>
              <a:ln w="12700">
                <a:solidFill>
                  <a:schemeClr val="accent6">
                    <a:lumMod val="60000"/>
                    <a:lumOff val="40000"/>
                  </a:schemeClr>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595959"/>
                    </a:solidFill>
                    <a:latin typeface="Helvetica Neue"/>
                    <a:ea typeface="Helvetica Neue"/>
                    <a:cs typeface="Helvetica Neue"/>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Analysis!$C$534:$H$534</c:f>
              <c:numCache>
                <c:formatCode>General</c:formatCode>
                <c:ptCount val="6"/>
                <c:pt idx="0">
                  <c:v>2023</c:v>
                </c:pt>
                <c:pt idx="1">
                  <c:v>2024</c:v>
                </c:pt>
                <c:pt idx="2">
                  <c:v>2025</c:v>
                </c:pt>
                <c:pt idx="3">
                  <c:v>2026</c:v>
                </c:pt>
                <c:pt idx="4">
                  <c:v>2027</c:v>
                </c:pt>
                <c:pt idx="5">
                  <c:v>2028</c:v>
                </c:pt>
              </c:numCache>
            </c:numRef>
          </c:cat>
          <c:val>
            <c:numRef>
              <c:f>Analysis!$C$540:$H$540</c:f>
              <c:numCache>
                <c:formatCode>0.0%</c:formatCode>
                <c:ptCount val="6"/>
                <c:pt idx="0">
                  <c:v>5.3033984080594128E-2</c:v>
                </c:pt>
                <c:pt idx="1">
                  <c:v>8.0333147784915043E-2</c:v>
                </c:pt>
                <c:pt idx="2">
                  <c:v>9.5512998115981865E-2</c:v>
                </c:pt>
                <c:pt idx="3">
                  <c:v>0.10970792655269511</c:v>
                </c:pt>
                <c:pt idx="4">
                  <c:v>0.12504739921939378</c:v>
                </c:pt>
                <c:pt idx="5">
                  <c:v>0.14431138820431466</c:v>
                </c:pt>
              </c:numCache>
            </c:numRef>
          </c:val>
          <c:smooth val="0"/>
          <c:extLst>
            <c:ext xmlns:c16="http://schemas.microsoft.com/office/drawing/2014/chart" uri="{C3380CC4-5D6E-409C-BE32-E72D297353CC}">
              <c16:uniqueId val="{00000003-BE00-48C4-B138-62F17E9F693E}"/>
            </c:ext>
          </c:extLst>
        </c:ser>
        <c:dLbls>
          <c:showLegendKey val="0"/>
          <c:showVal val="0"/>
          <c:showCatName val="0"/>
          <c:showSerName val="0"/>
          <c:showPercent val="0"/>
          <c:showBubbleSize val="0"/>
        </c:dLbls>
        <c:marker val="1"/>
        <c:smooth val="0"/>
        <c:axId val="1657427695"/>
        <c:axId val="1657436335"/>
      </c:lineChart>
      <c:catAx>
        <c:axId val="1238669519"/>
        <c:scaling>
          <c:orientation val="minMax"/>
        </c:scaling>
        <c:delete val="1"/>
        <c:axPos val="b"/>
        <c:numFmt formatCode="General" sourceLinked="1"/>
        <c:majorTickMark val="out"/>
        <c:minorTickMark val="none"/>
        <c:tickLblPos val="nextTo"/>
        <c:crossAx val="1238683439"/>
        <c:crosses val="autoZero"/>
        <c:auto val="1"/>
        <c:lblAlgn val="ctr"/>
        <c:lblOffset val="100"/>
        <c:noMultiLvlLbl val="0"/>
      </c:catAx>
      <c:valAx>
        <c:axId val="1238683439"/>
        <c:scaling>
          <c:orientation val="minMax"/>
        </c:scaling>
        <c:delete val="0"/>
        <c:axPos val="l"/>
        <c:numFmt formatCode="#,##0" sourceLinked="1"/>
        <c:majorTickMark val="out"/>
        <c:minorTickMark val="none"/>
        <c:tickLblPos val="nextTo"/>
        <c:spPr>
          <a:noFill/>
          <a:ln>
            <a:solidFill>
              <a:srgbClr val="B3B3B3"/>
            </a:solidFill>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1238669519"/>
        <c:crosses val="autoZero"/>
        <c:crossBetween val="between"/>
      </c:valAx>
      <c:valAx>
        <c:axId val="1657436335"/>
        <c:scaling>
          <c:orientation val="minMax"/>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1657427695"/>
        <c:crosses val="max"/>
        <c:crossBetween val="between"/>
      </c:valAx>
      <c:catAx>
        <c:axId val="1657427695"/>
        <c:scaling>
          <c:orientation val="minMax"/>
        </c:scaling>
        <c:delete val="1"/>
        <c:axPos val="b"/>
        <c:numFmt formatCode="General" sourceLinked="1"/>
        <c:majorTickMark val="out"/>
        <c:minorTickMark val="none"/>
        <c:tickLblPos val="nextTo"/>
        <c:crossAx val="1657436335"/>
        <c:crosses val="autoZero"/>
        <c:auto val="1"/>
        <c:lblAlgn val="ctr"/>
        <c:lblOffset val="100"/>
        <c:noMultiLvlLbl val="0"/>
      </c:cat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Analysis!$B$543</c:f>
              <c:strCache>
                <c:ptCount val="1"/>
                <c:pt idx="0">
                  <c:v>Block</c:v>
                </c:pt>
              </c:strCache>
            </c:strRef>
          </c:tx>
          <c:spPr>
            <a:solidFill>
              <a:schemeClr val="accent3">
                <a:lumMod val="60000"/>
                <a:lumOff val="40000"/>
              </a:schemeClr>
            </a:solidFill>
            <a:ln>
              <a:noFill/>
            </a:ln>
            <a:effectLst/>
            <a:extLst>
              <a:ext uri="{91240B29-F687-4F45-9708-019B960494DF}">
                <a14:hiddenLine xmlns:a14="http://schemas.microsoft.com/office/drawing/2010/main">
                  <a:noFill/>
                </a14:hiddenLine>
              </a:ext>
            </a:ex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FFFFFF"/>
                    </a:solidFill>
                    <a:latin typeface="Helvetica Neue"/>
                    <a:ea typeface="Helvetica Neue"/>
                    <a:cs typeface="Helvetica Neue"/>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Analysis!$D$542:$H$542</c:f>
              <c:numCache>
                <c:formatCode>General</c:formatCode>
                <c:ptCount val="5"/>
                <c:pt idx="0">
                  <c:v>2024</c:v>
                </c:pt>
                <c:pt idx="1">
                  <c:v>2025</c:v>
                </c:pt>
                <c:pt idx="2">
                  <c:v>2026</c:v>
                </c:pt>
                <c:pt idx="3">
                  <c:v>2027</c:v>
                </c:pt>
                <c:pt idx="4">
                  <c:v>2028</c:v>
                </c:pt>
              </c:numCache>
            </c:numRef>
          </c:cat>
          <c:val>
            <c:numRef>
              <c:f>Analysis!$D$543:$H$543</c:f>
              <c:numCache>
                <c:formatCode>0.0%</c:formatCode>
                <c:ptCount val="5"/>
                <c:pt idx="0">
                  <c:v>3.819709702062643E-2</c:v>
                </c:pt>
                <c:pt idx="1">
                  <c:v>4.7444331983805661E-2</c:v>
                </c:pt>
                <c:pt idx="2">
                  <c:v>6.3459829927655795E-2</c:v>
                </c:pt>
                <c:pt idx="3">
                  <c:v>7.2777849657135463E-2</c:v>
                </c:pt>
                <c:pt idx="4">
                  <c:v>8.3150402447947844E-2</c:v>
                </c:pt>
              </c:numCache>
            </c:numRef>
          </c:val>
          <c:extLst>
            <c:ext xmlns:c16="http://schemas.microsoft.com/office/drawing/2014/chart" uri="{C3380CC4-5D6E-409C-BE32-E72D297353CC}">
              <c16:uniqueId val="{00000000-9A30-4AA7-A422-28AC09811DD5}"/>
            </c:ext>
          </c:extLst>
        </c:ser>
        <c:ser>
          <c:idx val="1"/>
          <c:order val="1"/>
          <c:tx>
            <c:strRef>
              <c:f>Analysis!$B$544</c:f>
              <c:strCache>
                <c:ptCount val="1"/>
                <c:pt idx="0">
                  <c:v>PayPal</c:v>
                </c:pt>
              </c:strCache>
            </c:strRef>
          </c:tx>
          <c:spPr>
            <a:solidFill>
              <a:schemeClr val="accent6">
                <a:lumMod val="60000"/>
                <a:lumOff val="40000"/>
              </a:schemeClr>
            </a:solidFill>
            <a:ln>
              <a:noFill/>
            </a:ln>
            <a:effectLst/>
            <a:extLst>
              <a:ext uri="{91240B29-F687-4F45-9708-019B960494DF}">
                <a14:hiddenLine xmlns:a14="http://schemas.microsoft.com/office/drawing/2010/main">
                  <a:noFill/>
                </a14:hiddenLine>
              </a:ext>
            </a:ex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Helvetica Neue"/>
                    <a:ea typeface="Helvetica Neue"/>
                    <a:cs typeface="Helvetica Neue"/>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Analysis!$D$542:$H$542</c:f>
              <c:numCache>
                <c:formatCode>General</c:formatCode>
                <c:ptCount val="5"/>
                <c:pt idx="0">
                  <c:v>2024</c:v>
                </c:pt>
                <c:pt idx="1">
                  <c:v>2025</c:v>
                </c:pt>
                <c:pt idx="2">
                  <c:v>2026</c:v>
                </c:pt>
                <c:pt idx="3">
                  <c:v>2027</c:v>
                </c:pt>
                <c:pt idx="4">
                  <c:v>2028</c:v>
                </c:pt>
              </c:numCache>
            </c:numRef>
          </c:cat>
          <c:val>
            <c:numRef>
              <c:f>Analysis!$D$544:$H$544</c:f>
              <c:numCache>
                <c:formatCode>0.0%</c:formatCode>
                <c:ptCount val="5"/>
                <c:pt idx="0">
                  <c:v>9.2250922509225092E-2</c:v>
                </c:pt>
                <c:pt idx="1">
                  <c:v>9.5580363970025992E-2</c:v>
                </c:pt>
                <c:pt idx="2">
                  <c:v>9.9356875731896166E-2</c:v>
                </c:pt>
                <c:pt idx="3">
                  <c:v>0.10346838439480351</c:v>
                </c:pt>
                <c:pt idx="4">
                  <c:v>0.10795878768695594</c:v>
                </c:pt>
              </c:numCache>
            </c:numRef>
          </c:val>
          <c:extLst>
            <c:ext xmlns:c16="http://schemas.microsoft.com/office/drawing/2014/chart" uri="{C3380CC4-5D6E-409C-BE32-E72D297353CC}">
              <c16:uniqueId val="{00000001-9A30-4AA7-A422-28AC09811DD5}"/>
            </c:ext>
          </c:extLst>
        </c:ser>
        <c:dLbls>
          <c:showLegendKey val="0"/>
          <c:showVal val="0"/>
          <c:showCatName val="0"/>
          <c:showSerName val="0"/>
          <c:showPercent val="0"/>
          <c:showBubbleSize val="0"/>
        </c:dLbls>
        <c:gapWidth val="30"/>
        <c:overlap val="-27"/>
        <c:axId val="1071410943"/>
        <c:axId val="1071412383"/>
      </c:barChart>
      <c:catAx>
        <c:axId val="1071410943"/>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1071412383"/>
        <c:crosses val="autoZero"/>
        <c:auto val="1"/>
        <c:lblAlgn val="ctr"/>
        <c:lblOffset val="100"/>
        <c:noMultiLvlLbl val="0"/>
      </c:catAx>
      <c:valAx>
        <c:axId val="1071412383"/>
        <c:scaling>
          <c:orientation val="minMax"/>
        </c:scaling>
        <c:delete val="1"/>
        <c:axPos val="l"/>
        <c:numFmt formatCode="0.0%" sourceLinked="1"/>
        <c:majorTickMark val="out"/>
        <c:minorTickMark val="none"/>
        <c:tickLblPos val="nextTo"/>
        <c:crossAx val="1071410943"/>
        <c:crosses val="autoZero"/>
        <c:crossBetween val="between"/>
      </c:val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5400" cap="rnd">
              <a:solidFill>
                <a:schemeClr val="accent6">
                  <a:lumMod val="75000"/>
                </a:schemeClr>
              </a:solidFill>
              <a:prstDash val="solid"/>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595959"/>
                    </a:solidFill>
                    <a:latin typeface="Helvetica Neue"/>
                    <a:ea typeface="Helvetica Neue"/>
                    <a:cs typeface="Helvetica Neue"/>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Analysis!$C$547:$G$547</c:f>
              <c:strCache>
                <c:ptCount val="3"/>
                <c:pt idx="0">
                  <c:v>2022</c:v>
                </c:pt>
                <c:pt idx="1">
                  <c:v>2023</c:v>
                </c:pt>
                <c:pt idx="2">
                  <c:v>2024e</c:v>
                </c:pt>
              </c:strCache>
            </c:strRef>
          </c:cat>
          <c:val>
            <c:numRef>
              <c:f>Analysis!$C$548:$G$548</c:f>
              <c:numCache>
                <c:formatCode>0%</c:formatCode>
                <c:ptCount val="5"/>
                <c:pt idx="0">
                  <c:v>4.8111212051361894E-2</c:v>
                </c:pt>
                <c:pt idx="1">
                  <c:v>4.745940927446362E-2</c:v>
                </c:pt>
                <c:pt idx="2">
                  <c:v>5.6973254097304332E-2</c:v>
                </c:pt>
              </c:numCache>
            </c:numRef>
          </c:val>
          <c:smooth val="0"/>
          <c:extLst>
            <c:ext xmlns:c16="http://schemas.microsoft.com/office/drawing/2014/chart" uri="{C3380CC4-5D6E-409C-BE32-E72D297353CC}">
              <c16:uniqueId val="{00000000-219D-427B-B9D5-08997BA27BCE}"/>
            </c:ext>
          </c:extLst>
        </c:ser>
        <c:dLbls>
          <c:showLegendKey val="0"/>
          <c:showVal val="0"/>
          <c:showCatName val="0"/>
          <c:showSerName val="0"/>
          <c:showPercent val="0"/>
          <c:showBubbleSize val="0"/>
        </c:dLbls>
        <c:smooth val="0"/>
        <c:axId val="1448878399"/>
        <c:axId val="1448900479"/>
      </c:lineChart>
      <c:catAx>
        <c:axId val="1448878399"/>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1448900479"/>
        <c:crosses val="autoZero"/>
        <c:auto val="1"/>
        <c:lblAlgn val="ctr"/>
        <c:lblOffset val="100"/>
        <c:noMultiLvlLbl val="0"/>
      </c:catAx>
      <c:valAx>
        <c:axId val="1448900479"/>
        <c:scaling>
          <c:orientation val="minMax"/>
        </c:scaling>
        <c:delete val="1"/>
        <c:axPos val="l"/>
        <c:numFmt formatCode="0%" sourceLinked="1"/>
        <c:majorTickMark val="out"/>
        <c:minorTickMark val="none"/>
        <c:tickLblPos val="nextTo"/>
        <c:crossAx val="1448878399"/>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6">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595959"/>
                    </a:solidFill>
                    <a:latin typeface="Helvetica Neue"/>
                    <a:ea typeface="Helvetica Neue"/>
                    <a:cs typeface="Helvetica Neue"/>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Analysis!$C$547:$E$547</c:f>
              <c:strCache>
                <c:ptCount val="3"/>
                <c:pt idx="0">
                  <c:v>2022</c:v>
                </c:pt>
                <c:pt idx="1">
                  <c:v>2023</c:v>
                </c:pt>
                <c:pt idx="2">
                  <c:v>2024e</c:v>
                </c:pt>
              </c:strCache>
            </c:strRef>
          </c:cat>
          <c:val>
            <c:numRef>
              <c:f>Analysis!$C$549:$E$549</c:f>
              <c:numCache>
                <c:formatCode>0.0%</c:formatCode>
                <c:ptCount val="3"/>
                <c:pt idx="0">
                  <c:v>3.3000000000000002E-2</c:v>
                </c:pt>
                <c:pt idx="1">
                  <c:v>4.2000000000000003E-2</c:v>
                </c:pt>
                <c:pt idx="2">
                  <c:v>4.4999999999999998E-2</c:v>
                </c:pt>
              </c:numCache>
            </c:numRef>
          </c:val>
          <c:extLst>
            <c:ext xmlns:c16="http://schemas.microsoft.com/office/drawing/2014/chart" uri="{C3380CC4-5D6E-409C-BE32-E72D297353CC}">
              <c16:uniqueId val="{00000000-9FFC-4455-8119-9DF20C7B8760}"/>
            </c:ext>
          </c:extLst>
        </c:ser>
        <c:dLbls>
          <c:showLegendKey val="0"/>
          <c:showVal val="0"/>
          <c:showCatName val="0"/>
          <c:showSerName val="0"/>
          <c:showPercent val="0"/>
          <c:showBubbleSize val="0"/>
        </c:dLbls>
        <c:gapWidth val="30"/>
        <c:axId val="1448878399"/>
        <c:axId val="1448900479"/>
      </c:barChart>
      <c:catAx>
        <c:axId val="1448878399"/>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1448900479"/>
        <c:crosses val="autoZero"/>
        <c:auto val="1"/>
        <c:lblAlgn val="ctr"/>
        <c:lblOffset val="100"/>
        <c:noMultiLvlLbl val="0"/>
      </c:catAx>
      <c:valAx>
        <c:axId val="1448900479"/>
        <c:scaling>
          <c:orientation val="minMax"/>
        </c:scaling>
        <c:delete val="1"/>
        <c:axPos val="l"/>
        <c:numFmt formatCode="0.0%" sourceLinked="1"/>
        <c:majorTickMark val="out"/>
        <c:minorTickMark val="none"/>
        <c:tickLblPos val="nextTo"/>
        <c:crossAx val="1448878399"/>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extLst>
              <a:ext uri="{91240B29-F687-4F45-9708-019B960494DF}">
                <a14:hiddenLine xmlns:a14="http://schemas.microsoft.com/office/drawing/2010/main">
                  <a:noFill/>
                </a14:hiddenLine>
              </a:ext>
            </a:ex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595959"/>
                    </a:solidFill>
                    <a:latin typeface="Helvetica Neue"/>
                    <a:ea typeface="Helvetica Neue"/>
                    <a:cs typeface="Helvetica Neue"/>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Analysis!$D$587:$N$587</c:f>
              <c:strCache>
                <c:ptCount val="11"/>
                <c:pt idx="0">
                  <c:v>Q4 21</c:v>
                </c:pt>
                <c:pt idx="1">
                  <c:v>Q1 22</c:v>
                </c:pt>
                <c:pt idx="2">
                  <c:v>Q2 22</c:v>
                </c:pt>
                <c:pt idx="3">
                  <c:v>Q3 22</c:v>
                </c:pt>
                <c:pt idx="4">
                  <c:v>Q4 22</c:v>
                </c:pt>
                <c:pt idx="5">
                  <c:v>Q1 23</c:v>
                </c:pt>
                <c:pt idx="6">
                  <c:v>Q2 23</c:v>
                </c:pt>
                <c:pt idx="7">
                  <c:v>Q3 23</c:v>
                </c:pt>
                <c:pt idx="8">
                  <c:v>Q4 23</c:v>
                </c:pt>
                <c:pt idx="9">
                  <c:v>Q1 24</c:v>
                </c:pt>
                <c:pt idx="10">
                  <c:v>Q2 24</c:v>
                </c:pt>
              </c:strCache>
            </c:strRef>
          </c:cat>
          <c:val>
            <c:numRef>
              <c:f>Analysis!$D$588:$N$588</c:f>
              <c:numCache>
                <c:formatCode>0%</c:formatCode>
                <c:ptCount val="11"/>
                <c:pt idx="0">
                  <c:v>0.84592445328031807</c:v>
                </c:pt>
                <c:pt idx="1">
                  <c:v>0.80202839756592292</c:v>
                </c:pt>
                <c:pt idx="2">
                  <c:v>0.82795883361921108</c:v>
                </c:pt>
                <c:pt idx="3">
                  <c:v>0.84813559322033893</c:v>
                </c:pt>
                <c:pt idx="4">
                  <c:v>0.83810344827586203</c:v>
                </c:pt>
                <c:pt idx="5">
                  <c:v>0.79965397923875436</c:v>
                </c:pt>
                <c:pt idx="6">
                  <c:v>0.81062874251497008</c:v>
                </c:pt>
                <c:pt idx="7">
                  <c:v>0.81897058823529412</c:v>
                </c:pt>
                <c:pt idx="8">
                  <c:v>0.78972239902654873</c:v>
                </c:pt>
                <c:pt idx="9">
                  <c:v>0.73671433576642331</c:v>
                </c:pt>
                <c:pt idx="10">
                  <c:v>0.74548948914431667</c:v>
                </c:pt>
              </c:numCache>
            </c:numRef>
          </c:val>
          <c:extLst>
            <c:ext xmlns:c16="http://schemas.microsoft.com/office/drawing/2014/chart" uri="{C3380CC4-5D6E-409C-BE32-E72D297353CC}">
              <c16:uniqueId val="{00000000-79DD-4120-B63E-D6969E02B136}"/>
            </c:ext>
          </c:extLst>
        </c:ser>
        <c:dLbls>
          <c:showLegendKey val="0"/>
          <c:showVal val="0"/>
          <c:showCatName val="0"/>
          <c:showSerName val="0"/>
          <c:showPercent val="0"/>
          <c:showBubbleSize val="0"/>
        </c:dLbls>
        <c:gapWidth val="30"/>
        <c:overlap val="-27"/>
        <c:axId val="1434004287"/>
        <c:axId val="1434017247"/>
      </c:barChart>
      <c:catAx>
        <c:axId val="1434004287"/>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1434017247"/>
        <c:crosses val="autoZero"/>
        <c:auto val="1"/>
        <c:lblAlgn val="ctr"/>
        <c:lblOffset val="100"/>
        <c:noMultiLvlLbl val="0"/>
      </c:catAx>
      <c:valAx>
        <c:axId val="1434017247"/>
        <c:scaling>
          <c:orientation val="minMax"/>
          <c:min val="0"/>
        </c:scaling>
        <c:delete val="1"/>
        <c:axPos val="l"/>
        <c:numFmt formatCode="0%" sourceLinked="1"/>
        <c:majorTickMark val="out"/>
        <c:minorTickMark val="none"/>
        <c:tickLblPos val="nextTo"/>
        <c:crossAx val="1434004287"/>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smoothMarker"/>
        <c:varyColors val="0"/>
        <c:ser>
          <c:idx val="0"/>
          <c:order val="0"/>
          <c:spPr>
            <a:ln w="38100">
              <a:noFill/>
            </a:ln>
            <a:effectLst/>
          </c:spPr>
          <c:marker>
            <c:symbol val="diamond"/>
            <c:size val="5"/>
            <c:spPr>
              <a:solidFill>
                <a:srgbClr val="263238"/>
              </a:solidFill>
              <a:ln>
                <a:solidFill>
                  <a:srgbClr val="263238"/>
                </a:solidFill>
                <a:prstDash val="solid"/>
              </a:ln>
            </c:spPr>
          </c:marker>
          <c:dLbls>
            <c:dLbl>
              <c:idx val="0"/>
              <c:tx>
                <c:strRef>
                  <c:f>Analysis!$B$413</c:f>
                  <c:strCache>
                    <c:ptCount val="1"/>
                    <c:pt idx="0">
                      <c:v>NU</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{732D2255-E4EF-4AB9-B110-7E6EBA7FAA0B}</c15:txfldGUID>
                      <c15:f>Analysis!$B$413</c15:f>
                      <c15:dlblFieldTableCache>
                        <c:ptCount val="1"/>
                        <c:pt idx="0">
                          <c:v>NU</c:v>
                        </c:pt>
                      </c15:dlblFieldTableCache>
                    </c15:dlblFTEntry>
                  </c15:dlblFieldTable>
                  <c15:showDataLabelsRange val="0"/>
                </c:ext>
                <c:ext xmlns:c16="http://schemas.microsoft.com/office/drawing/2014/chart" uri="{C3380CC4-5D6E-409C-BE32-E72D297353CC}">
                  <c16:uniqueId val="{00000001-03FF-41D4-BDEC-F5FBB696D9CA}"/>
                </c:ext>
              </c:extLst>
            </c:dLbl>
            <c:dLbl>
              <c:idx val="1"/>
              <c:tx>
                <c:strRef>
                  <c:f>Analysis!$B$414</c:f>
                  <c:strCache>
                    <c:ptCount val="1"/>
                    <c:pt idx="0">
                      <c:v>Cash App</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{8F560CDA-471F-488A-AE96-6672B1E00A80}</c15:txfldGUID>
                      <c15:f>Analysis!$B$414</c15:f>
                      <c15:dlblFieldTableCache>
                        <c:ptCount val="1"/>
                        <c:pt idx="0">
                          <c:v>Cash App</c:v>
                        </c:pt>
                      </c15:dlblFieldTableCache>
                    </c15:dlblFTEntry>
                  </c15:dlblFieldTable>
                  <c15:showDataLabelsRange val="0"/>
                </c:ext>
                <c:ext xmlns:c16="http://schemas.microsoft.com/office/drawing/2014/chart" uri="{C3380CC4-5D6E-409C-BE32-E72D297353CC}">
                  <c16:uniqueId val="{00000002-03FF-41D4-BDEC-F5FBB696D9CA}"/>
                </c:ext>
              </c:extLst>
            </c:dLbl>
            <c:dLbl>
              <c:idx val="2"/>
              <c:tx>
                <c:strRef>
                  <c:f>Analysis!$B$415</c:f>
                  <c:strCache>
                    <c:ptCount val="1"/>
                    <c:pt idx="0">
                      <c:v>Revolut @ $45 bn</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{C15E1A69-D748-4A57-9947-48C13276EB50}</c15:txfldGUID>
                      <c15:f>Analysis!$B$415</c15:f>
                      <c15:dlblFieldTableCache>
                        <c:ptCount val="1"/>
                        <c:pt idx="0">
                          <c:v>Revolut @ $45 bn</c:v>
                        </c:pt>
                      </c15:dlblFieldTableCache>
                    </c15:dlblFTEntry>
                  </c15:dlblFieldTable>
                  <c15:showDataLabelsRange val="0"/>
                </c:ext>
                <c:ext xmlns:c16="http://schemas.microsoft.com/office/drawing/2014/chart" uri="{C3380CC4-5D6E-409C-BE32-E72D297353CC}">
                  <c16:uniqueId val="{00000003-03FF-41D4-BDEC-F5FBB696D9CA}"/>
                </c:ext>
              </c:extLst>
            </c:dLbl>
            <c:dLbl>
              <c:idx val="3"/>
              <c:tx>
                <c:strRef>
                  <c:f>Analysis!$B$416</c:f>
                  <c:strCache>
                    <c:ptCount val="1"/>
                    <c:pt idx="0">
                      <c:v>Kaspi</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{59126BA2-54FA-4609-B1C5-A075207773BC}</c15:txfldGUID>
                      <c15:f>Analysis!$B$416</c15:f>
                      <c15:dlblFieldTableCache>
                        <c:ptCount val="1"/>
                        <c:pt idx="0">
                          <c:v>Kaspi</c:v>
                        </c:pt>
                      </c15:dlblFieldTableCache>
                    </c15:dlblFTEntry>
                  </c15:dlblFieldTable>
                  <c15:showDataLabelsRange val="0"/>
                </c:ext>
                <c:ext xmlns:c16="http://schemas.microsoft.com/office/drawing/2014/chart" uri="{C3380CC4-5D6E-409C-BE32-E72D297353CC}">
                  <c16:uniqueId val="{00000004-03FF-41D4-BDEC-F5FBB696D9CA}"/>
                </c:ext>
              </c:extLst>
            </c:dLbl>
            <c:dLbl>
              <c:idx val="4"/>
              <c:tx>
                <c:strRef>
                  <c:f>Analysis!$B$417</c:f>
                  <c:strCache>
                    <c:ptCount val="1"/>
                    <c:pt idx="0">
                      <c:v>Sofi</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{1C280CCD-B8D4-4A74-80FE-BBB34C03E384}</c15:txfldGUID>
                      <c15:f>Analysis!$B$417</c15:f>
                      <c15:dlblFieldTableCache>
                        <c:ptCount val="1"/>
                        <c:pt idx="0">
                          <c:v>Sofi</c:v>
                        </c:pt>
                      </c15:dlblFieldTableCache>
                    </c15:dlblFTEntry>
                  </c15:dlblFieldTable>
                  <c15:showDataLabelsRange val="0"/>
                </c:ext>
                <c:ext xmlns:c16="http://schemas.microsoft.com/office/drawing/2014/chart" uri="{C3380CC4-5D6E-409C-BE32-E72D297353CC}">
                  <c16:uniqueId val="{00000005-03FF-41D4-BDEC-F5FBB696D9CA}"/>
                </c:ext>
              </c:extLst>
            </c:dLbl>
            <c:dLbl>
              <c:idx val="5"/>
              <c:tx>
                <c:strRef>
                  <c:f>Analysis!$B$418</c:f>
                  <c:strCache>
                    <c:ptCount val="1"/>
                    <c:pt idx="0">
                      <c:v>WISE</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{E88A5965-8417-488F-AF58-9F818A80E094}</c15:txfldGUID>
                      <c15:f>Analysis!$B$418</c15:f>
                      <c15:dlblFieldTableCache>
                        <c:ptCount val="1"/>
                        <c:pt idx="0">
                          <c:v>WISE</c:v>
                        </c:pt>
                      </c15:dlblFieldTableCache>
                    </c15:dlblFTEntry>
                  </c15:dlblFieldTable>
                  <c15:showDataLabelsRange val="0"/>
                </c:ext>
                <c:ext xmlns:c16="http://schemas.microsoft.com/office/drawing/2014/chart" uri="{C3380CC4-5D6E-409C-BE32-E72D297353CC}">
                  <c16:uniqueId val="{00000006-03FF-41D4-BDEC-F5FBB696D9CA}"/>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trendline>
            <c:trendlineType val="linear"/>
            <c:dispRSqr val="1"/>
            <c:dispEq val="0"/>
            <c:trendlineLbl>
              <c:numFmt formatCode="General" sourceLinked="0"/>
            </c:trendlineLbl>
          </c:trendline>
          <c:xVal>
            <c:numRef>
              <c:f>Analysis!$G$413:$G$418</c:f>
              <c:numCache>
                <c:formatCode>#,##0</c:formatCode>
                <c:ptCount val="6"/>
                <c:pt idx="0">
                  <c:v>817.66055045871553</c:v>
                </c:pt>
                <c:pt idx="1">
                  <c:v>577.80237070093608</c:v>
                </c:pt>
                <c:pt idx="2">
                  <c:v>1000</c:v>
                </c:pt>
                <c:pt idx="3">
                  <c:v>1626.287878787879</c:v>
                </c:pt>
                <c:pt idx="4">
                  <c:v>911.78481878276739</c:v>
                </c:pt>
                <c:pt idx="5">
                  <c:v>959.01075268817215</c:v>
                </c:pt>
              </c:numCache>
            </c:numRef>
          </c:xVal>
          <c:yVal>
            <c:numRef>
              <c:f>Analysis!$M$413:$M$418</c:f>
              <c:numCache>
                <c:formatCode>0.0</c:formatCode>
                <c:ptCount val="6"/>
                <c:pt idx="0">
                  <c:v>12.916666666666666</c:v>
                </c:pt>
                <c:pt idx="1">
                  <c:v>7.9611480073191307</c:v>
                </c:pt>
                <c:pt idx="2">
                  <c:v>20.217686086451174</c:v>
                </c:pt>
                <c:pt idx="3">
                  <c:v>8.8743282348077717</c:v>
                </c:pt>
                <c:pt idx="4">
                  <c:v>3.2653061224489797</c:v>
                </c:pt>
                <c:pt idx="5">
                  <c:v>4.7470725995316156</c:v>
                </c:pt>
              </c:numCache>
            </c:numRef>
          </c:yVal>
          <c:smooth val="0"/>
          <c:extLst>
            <c:ext xmlns:c16="http://schemas.microsoft.com/office/drawing/2014/chart" uri="{C3380CC4-5D6E-409C-BE32-E72D297353CC}">
              <c16:uniqueId val="{00000000-03FF-41D4-BDEC-F5FBB696D9CA}"/>
            </c:ext>
          </c:extLst>
        </c:ser>
        <c:dLbls>
          <c:showLegendKey val="0"/>
          <c:showVal val="0"/>
          <c:showCatName val="0"/>
          <c:showSerName val="0"/>
          <c:showPercent val="0"/>
          <c:showBubbleSize val="0"/>
        </c:dLbls>
        <c:axId val="1020748400"/>
        <c:axId val="1020751280"/>
      </c:scatterChart>
      <c:valAx>
        <c:axId val="1020748400"/>
        <c:scaling>
          <c:orientation val="minMax"/>
        </c:scaling>
        <c:delete val="0"/>
        <c:axPos val="b"/>
        <c:numFmt formatCode="#,##0" sourceLinked="1"/>
        <c:majorTickMark val="out"/>
        <c:minorTickMark val="none"/>
        <c:tickLblPos val="nextTo"/>
        <c:spPr>
          <a:ln>
            <a:solidFill>
              <a:srgbClr val="B3B3B3"/>
            </a:solidFill>
          </a:ln>
        </c:spPr>
        <c:crossAx val="1020751280"/>
        <c:crosses val="autoZero"/>
        <c:crossBetween val="midCat"/>
      </c:valAx>
      <c:valAx>
        <c:axId val="1020751280"/>
        <c:scaling>
          <c:orientation val="minMax"/>
        </c:scaling>
        <c:delete val="0"/>
        <c:axPos val="l"/>
        <c:numFmt formatCode="0.0" sourceLinked="1"/>
        <c:majorTickMark val="out"/>
        <c:minorTickMark val="none"/>
        <c:tickLblPos val="nextTo"/>
        <c:spPr>
          <a:ln>
            <a:solidFill>
              <a:srgbClr val="B3B3B3"/>
            </a:solidFill>
          </a:ln>
        </c:spPr>
        <c:crossAx val="1020748400"/>
        <c:crosses val="autoZero"/>
        <c:crossBetween val="midCat"/>
      </c:valAx>
      <c:spPr>
        <a:noFill/>
        <a:ln w="25400">
          <a:noFill/>
        </a:ln>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ln w="25400">
      <a:noFill/>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4">
                <a:lumMod val="60000"/>
                <a:lumOff val="40000"/>
              </a:schemeClr>
            </a:solidFill>
            <a:ln>
              <a:noFill/>
            </a:ln>
            <a:effectLst/>
            <a:extLst>
              <a:ext uri="{91240B29-F687-4F45-9708-019B960494DF}">
                <a14:hiddenLine xmlns:a14="http://schemas.microsoft.com/office/drawing/2010/main">
                  <a:noFill/>
                </a14:hiddenLine>
              </a:ext>
            </a:extLst>
          </c:spPr>
          <c:invertIfNegative val="0"/>
          <c:dPt>
            <c:idx val="5"/>
            <c:invertIfNegative val="0"/>
            <c:bubble3D val="0"/>
            <c:spPr>
              <a:solidFill>
                <a:schemeClr val="accent6">
                  <a:lumMod val="40000"/>
                  <a:lumOff val="60000"/>
                </a:schemeClr>
              </a:solidFill>
              <a:ln>
                <a:noFill/>
              </a:ln>
              <a:effectLst/>
              <a:extLst>
                <a:ext uri="{91240B29-F687-4F45-9708-019B960494DF}">
                  <a14:hiddenLine xmlns:a14="http://schemas.microsoft.com/office/drawing/2010/main">
                    <a:noFill/>
                  </a14:hiddenLine>
                </a:ext>
              </a:extLst>
            </c:spPr>
            <c:extLst>
              <c:ext xmlns:c16="http://schemas.microsoft.com/office/drawing/2014/chart" uri="{C3380CC4-5D6E-409C-BE32-E72D297353CC}">
                <c16:uniqueId val="{00000000-D3B2-4CDF-AF89-287BDF078F3D}"/>
              </c:ext>
            </c:extLst>
          </c:dPt>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595959"/>
                    </a:solidFill>
                    <a:latin typeface="Helvetica Neue"/>
                    <a:ea typeface="Helvetica Neue"/>
                    <a:cs typeface="Helvetica Neue"/>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Analysis!$B$420:$B$425</c:f>
              <c:strCache>
                <c:ptCount val="6"/>
                <c:pt idx="0">
                  <c:v>Kaspi</c:v>
                </c:pt>
                <c:pt idx="1">
                  <c:v>Revolut @ $45 bn</c:v>
                </c:pt>
                <c:pt idx="2">
                  <c:v>WISE</c:v>
                </c:pt>
                <c:pt idx="3">
                  <c:v>Sofi</c:v>
                </c:pt>
                <c:pt idx="4">
                  <c:v>NU</c:v>
                </c:pt>
                <c:pt idx="5">
                  <c:v>Cash App</c:v>
                </c:pt>
              </c:strCache>
            </c:strRef>
          </c:cat>
          <c:val>
            <c:numRef>
              <c:f>Analysis!$C$420:$C$425</c:f>
              <c:numCache>
                <c:formatCode>#,##0</c:formatCode>
                <c:ptCount val="6"/>
                <c:pt idx="0">
                  <c:v>1626.287878787879</c:v>
                </c:pt>
                <c:pt idx="1">
                  <c:v>1000</c:v>
                </c:pt>
                <c:pt idx="2">
                  <c:v>959.01075268817215</c:v>
                </c:pt>
                <c:pt idx="3">
                  <c:v>911.78481878276739</c:v>
                </c:pt>
                <c:pt idx="4">
                  <c:v>817.66055045871553</c:v>
                </c:pt>
                <c:pt idx="5">
                  <c:v>577.44223912198879</c:v>
                </c:pt>
              </c:numCache>
            </c:numRef>
          </c:val>
          <c:extLst>
            <c:ext xmlns:c16="http://schemas.microsoft.com/office/drawing/2014/chart" uri="{C3380CC4-5D6E-409C-BE32-E72D297353CC}">
              <c16:uniqueId val="{00000000-70B8-4999-AF9F-B5B3906E454C}"/>
            </c:ext>
          </c:extLst>
        </c:ser>
        <c:dLbls>
          <c:showLegendKey val="0"/>
          <c:showVal val="0"/>
          <c:showCatName val="0"/>
          <c:showSerName val="0"/>
          <c:showPercent val="0"/>
          <c:showBubbleSize val="0"/>
        </c:dLbls>
        <c:gapWidth val="30"/>
        <c:overlap val="-27"/>
        <c:axId val="2027574528"/>
        <c:axId val="2027585568"/>
      </c:barChart>
      <c:catAx>
        <c:axId val="2027574528"/>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2027585568"/>
        <c:crosses val="autoZero"/>
        <c:auto val="1"/>
        <c:lblAlgn val="ctr"/>
        <c:lblOffset val="100"/>
        <c:noMultiLvlLbl val="0"/>
      </c:catAx>
      <c:valAx>
        <c:axId val="2027585568"/>
        <c:scaling>
          <c:orientation val="minMax"/>
        </c:scaling>
        <c:delete val="1"/>
        <c:axPos val="l"/>
        <c:numFmt formatCode="#,##0" sourceLinked="1"/>
        <c:majorTickMark val="out"/>
        <c:minorTickMark val="none"/>
        <c:tickLblPos val="nextTo"/>
        <c:crossAx val="2027574528"/>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6">
                <a:lumMod val="50000"/>
              </a:schemeClr>
            </a:solidFill>
            <a:ln>
              <a:noFill/>
            </a:ln>
            <a:effectLst/>
            <a:extLst>
              <a:ext uri="{91240B29-F687-4F45-9708-019B960494DF}">
                <a14:hiddenLine xmlns:a14="http://schemas.microsoft.com/office/drawing/2010/main">
                  <a:noFill/>
                </a14:hiddenLine>
              </a:ext>
            </a:ex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595959"/>
                    </a:solidFill>
                    <a:latin typeface="Helvetica Neue"/>
                    <a:ea typeface="Helvetica Neue"/>
                    <a:cs typeface="Helvetica Neue"/>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BNPL!$A$338:$A$343</c:f>
              <c:strCache>
                <c:ptCount val="6"/>
                <c:pt idx="0">
                  <c:v>Klarna</c:v>
                </c:pt>
                <c:pt idx="1">
                  <c:v>Afterpay</c:v>
                </c:pt>
                <c:pt idx="2">
                  <c:v>PayPal*</c:v>
                </c:pt>
                <c:pt idx="3">
                  <c:v>Affirm</c:v>
                </c:pt>
                <c:pt idx="4">
                  <c:v>Zip</c:v>
                </c:pt>
                <c:pt idx="5">
                  <c:v>Sezzle</c:v>
                </c:pt>
              </c:strCache>
            </c:strRef>
          </c:cat>
          <c:val>
            <c:numRef>
              <c:f>BNPL!$B$338:$B$343</c:f>
              <c:numCache>
                <c:formatCode>0</c:formatCode>
                <c:ptCount val="6"/>
                <c:pt idx="0" formatCode="#,##0">
                  <c:v>92.449764373232796</c:v>
                </c:pt>
                <c:pt idx="1">
                  <c:v>27.3</c:v>
                </c:pt>
                <c:pt idx="2" formatCode="#,##0">
                  <c:v>24</c:v>
                </c:pt>
                <c:pt idx="3">
                  <c:v>23.4</c:v>
                </c:pt>
                <c:pt idx="4">
                  <c:v>6.666666666666667</c:v>
                </c:pt>
                <c:pt idx="5">
                  <c:v>1.8</c:v>
                </c:pt>
              </c:numCache>
            </c:numRef>
          </c:val>
          <c:extLst>
            <c:ext xmlns:c16="http://schemas.microsoft.com/office/drawing/2014/chart" uri="{C3380CC4-5D6E-409C-BE32-E72D297353CC}">
              <c16:uniqueId val="{00000000-9D4A-447A-A41F-1FD581147912}"/>
            </c:ext>
          </c:extLst>
        </c:ser>
        <c:dLbls>
          <c:showLegendKey val="0"/>
          <c:showVal val="0"/>
          <c:showCatName val="0"/>
          <c:showSerName val="0"/>
          <c:showPercent val="0"/>
          <c:showBubbleSize val="0"/>
        </c:dLbls>
        <c:gapWidth val="30"/>
        <c:overlap val="-27"/>
        <c:axId val="702106303"/>
        <c:axId val="702122143"/>
      </c:barChart>
      <c:catAx>
        <c:axId val="702106303"/>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702122143"/>
        <c:crosses val="autoZero"/>
        <c:auto val="1"/>
        <c:lblAlgn val="ctr"/>
        <c:lblOffset val="100"/>
        <c:noMultiLvlLbl val="0"/>
      </c:catAx>
      <c:valAx>
        <c:axId val="702122143"/>
        <c:scaling>
          <c:orientation val="minMax"/>
        </c:scaling>
        <c:delete val="1"/>
        <c:axPos val="l"/>
        <c:numFmt formatCode="#,##0" sourceLinked="1"/>
        <c:majorTickMark val="out"/>
        <c:minorTickMark val="none"/>
        <c:tickLblPos val="nextTo"/>
        <c:crossAx val="7021063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6">
                <a:lumMod val="60000"/>
                <a:lumOff val="40000"/>
              </a:schemeClr>
            </a:solidFill>
            <a:ln>
              <a:noFill/>
            </a:ln>
            <a:effectLst/>
            <a:extLst>
              <a:ext uri="{91240B29-F687-4F45-9708-019B960494DF}">
                <a14:hiddenLine xmlns:a14="http://schemas.microsoft.com/office/drawing/2010/main">
                  <a:noFill/>
                </a14:hiddenLine>
              </a:ext>
            </a:ex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595959"/>
                    </a:solidFill>
                    <a:latin typeface="Helvetica Neue"/>
                    <a:ea typeface="Helvetica Neue"/>
                    <a:cs typeface="Helvetica Neue"/>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Valuation!$B$170:$B$175</c:f>
              <c:numCache>
                <c:formatCode>General</c:formatCode>
                <c:ptCount val="6"/>
                <c:pt idx="0">
                  <c:v>500</c:v>
                </c:pt>
                <c:pt idx="1">
                  <c:v>600</c:v>
                </c:pt>
                <c:pt idx="2">
                  <c:v>700</c:v>
                </c:pt>
                <c:pt idx="3">
                  <c:v>800</c:v>
                </c:pt>
                <c:pt idx="4">
                  <c:v>900</c:v>
                </c:pt>
                <c:pt idx="5">
                  <c:v>1000</c:v>
                </c:pt>
              </c:numCache>
            </c:numRef>
          </c:cat>
          <c:val>
            <c:numRef>
              <c:f>Valuation!$C$170:$C$175</c:f>
              <c:numCache>
                <c:formatCode>0</c:formatCode>
                <c:ptCount val="6"/>
                <c:pt idx="0">
                  <c:v>64.6713045151795</c:v>
                </c:pt>
                <c:pt idx="1">
                  <c:v>74.002023138661272</c:v>
                </c:pt>
                <c:pt idx="2">
                  <c:v>83.332741762143058</c:v>
                </c:pt>
                <c:pt idx="3">
                  <c:v>92.66346038562483</c:v>
                </c:pt>
                <c:pt idx="4">
                  <c:v>101.99417900910662</c:v>
                </c:pt>
                <c:pt idx="5">
                  <c:v>111.3248976325884</c:v>
                </c:pt>
              </c:numCache>
            </c:numRef>
          </c:val>
          <c:extLst>
            <c:ext xmlns:c16="http://schemas.microsoft.com/office/drawing/2014/chart" uri="{C3380CC4-5D6E-409C-BE32-E72D297353CC}">
              <c16:uniqueId val="{00000000-5570-4945-851B-48D7BAC9592F}"/>
            </c:ext>
          </c:extLst>
        </c:ser>
        <c:dLbls>
          <c:showLegendKey val="0"/>
          <c:showVal val="0"/>
          <c:showCatName val="0"/>
          <c:showSerName val="0"/>
          <c:showPercent val="0"/>
          <c:showBubbleSize val="0"/>
        </c:dLbls>
        <c:gapWidth val="30"/>
        <c:overlap val="-27"/>
        <c:axId val="1028787584"/>
        <c:axId val="1028786144"/>
      </c:barChart>
      <c:catAx>
        <c:axId val="1028787584"/>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1028786144"/>
        <c:crosses val="autoZero"/>
        <c:auto val="1"/>
        <c:lblAlgn val="ctr"/>
        <c:lblOffset val="100"/>
        <c:noMultiLvlLbl val="0"/>
      </c:catAx>
      <c:valAx>
        <c:axId val="1028786144"/>
        <c:scaling>
          <c:orientation val="minMax"/>
        </c:scaling>
        <c:delete val="1"/>
        <c:axPos val="l"/>
        <c:numFmt formatCode="0" sourceLinked="1"/>
        <c:majorTickMark val="out"/>
        <c:minorTickMark val="none"/>
        <c:tickLblPos val="nextTo"/>
        <c:crossAx val="1028787584"/>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6">
                <a:lumMod val="60000"/>
                <a:lumOff val="40000"/>
              </a:schemeClr>
            </a:solidFill>
            <a:ln>
              <a:noFill/>
            </a:ln>
            <a:effectLst/>
            <a:extLst>
              <a:ext uri="{91240B29-F687-4F45-9708-019B960494DF}">
                <a14:hiddenLine xmlns:a14="http://schemas.microsoft.com/office/drawing/2010/main">
                  <a:noFill/>
                </a14:hiddenLine>
              </a:ext>
            </a:extLst>
          </c:spPr>
          <c:invertIfNegative val="0"/>
          <c:dPt>
            <c:idx val="4"/>
            <c:invertIfNegative val="0"/>
            <c:bubble3D val="0"/>
            <c:spPr>
              <a:solidFill>
                <a:schemeClr val="accent4">
                  <a:lumMod val="60000"/>
                  <a:lumOff val="40000"/>
                </a:schemeClr>
              </a:solidFill>
              <a:ln>
                <a:noFill/>
              </a:ln>
              <a:effectLst/>
              <a:extLst>
                <a:ext uri="{91240B29-F687-4F45-9708-019B960494DF}">
                  <a14:hiddenLine xmlns:a14="http://schemas.microsoft.com/office/drawing/2010/main">
                    <a:noFill/>
                  </a14:hiddenLine>
                </a:ext>
              </a:extLst>
            </c:spPr>
            <c:extLst>
              <c:ext xmlns:c16="http://schemas.microsoft.com/office/drawing/2014/chart" uri="{C3380CC4-5D6E-409C-BE32-E72D297353CC}">
                <c16:uniqueId val="{00000001-3AC6-4751-A6D5-EFCD207C1F62}"/>
              </c:ext>
            </c:extLst>
          </c:dPt>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595959"/>
                    </a:solidFill>
                    <a:latin typeface="Helvetica Neue"/>
                    <a:ea typeface="Helvetica Neue"/>
                    <a:cs typeface="Helvetica Neue"/>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BNPL!$A$349:$A$353</c:f>
              <c:strCache>
                <c:ptCount val="5"/>
                <c:pt idx="0">
                  <c:v>Affirm</c:v>
                </c:pt>
                <c:pt idx="1">
                  <c:v>AfterPay</c:v>
                </c:pt>
                <c:pt idx="2">
                  <c:v>Klarna</c:v>
                </c:pt>
                <c:pt idx="3">
                  <c:v>PayPal *</c:v>
                </c:pt>
                <c:pt idx="4">
                  <c:v>Weighted average</c:v>
                </c:pt>
              </c:strCache>
            </c:strRef>
          </c:cat>
          <c:val>
            <c:numRef>
              <c:f>BNPL!$B$349:$B$353</c:f>
              <c:numCache>
                <c:formatCode>0%</c:formatCode>
                <c:ptCount val="5"/>
                <c:pt idx="0">
                  <c:v>0.30909090909090908</c:v>
                </c:pt>
                <c:pt idx="1">
                  <c:v>0.2109375</c:v>
                </c:pt>
                <c:pt idx="2">
                  <c:v>0.14018275786704493</c:v>
                </c:pt>
                <c:pt idx="3">
                  <c:v>0.16666666666666674</c:v>
                </c:pt>
                <c:pt idx="4">
                  <c:v>0.20794097779968745</c:v>
                </c:pt>
              </c:numCache>
            </c:numRef>
          </c:val>
          <c:extLst>
            <c:ext xmlns:c16="http://schemas.microsoft.com/office/drawing/2014/chart" uri="{C3380CC4-5D6E-409C-BE32-E72D297353CC}">
              <c16:uniqueId val="{00000000-E5B7-4D4E-862E-C18A150DCC36}"/>
            </c:ext>
          </c:extLst>
        </c:ser>
        <c:dLbls>
          <c:showLegendKey val="0"/>
          <c:showVal val="0"/>
          <c:showCatName val="0"/>
          <c:showSerName val="0"/>
          <c:showPercent val="0"/>
          <c:showBubbleSize val="0"/>
        </c:dLbls>
        <c:gapWidth val="30"/>
        <c:overlap val="-27"/>
        <c:axId val="702106303"/>
        <c:axId val="702122143"/>
      </c:barChart>
      <c:catAx>
        <c:axId val="702106303"/>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702122143"/>
        <c:crosses val="autoZero"/>
        <c:auto val="1"/>
        <c:lblAlgn val="ctr"/>
        <c:lblOffset val="100"/>
        <c:noMultiLvlLbl val="0"/>
      </c:catAx>
      <c:valAx>
        <c:axId val="702122143"/>
        <c:scaling>
          <c:orientation val="minMax"/>
        </c:scaling>
        <c:delete val="1"/>
        <c:axPos val="l"/>
        <c:numFmt formatCode="0%" sourceLinked="1"/>
        <c:majorTickMark val="out"/>
        <c:minorTickMark val="none"/>
        <c:tickLblPos val="nextTo"/>
        <c:crossAx val="7021063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solidFill>
              <a:schemeClr val="accent6">
                <a:lumMod val="50000"/>
              </a:schemeClr>
            </a:solidFill>
          </c:spPr>
          <c:dPt>
            <c:idx val="0"/>
            <c:bubble3D val="0"/>
            <c:spPr>
              <a:solidFill>
                <a:schemeClr val="accent6">
                  <a:lumMod val="50000"/>
                </a:schemeClr>
              </a:solidFill>
              <a:ln w="25400">
                <a:noFill/>
              </a:ln>
              <a:effectLst/>
            </c:spPr>
            <c:extLst>
              <c:ext xmlns:c16="http://schemas.microsoft.com/office/drawing/2014/chart" uri="{C3380CC4-5D6E-409C-BE32-E72D297353CC}">
                <c16:uniqueId val="{00000001-908E-49D9-939E-CC8FB3426255}"/>
              </c:ext>
            </c:extLst>
          </c:dPt>
          <c:dPt>
            <c:idx val="1"/>
            <c:bubble3D val="0"/>
            <c:spPr>
              <a:solidFill>
                <a:schemeClr val="accent6">
                  <a:lumMod val="20000"/>
                  <a:lumOff val="80000"/>
                </a:schemeClr>
              </a:solidFill>
              <a:ln w="25400">
                <a:noFill/>
              </a:ln>
              <a:effectLst/>
            </c:spPr>
            <c:extLst>
              <c:ext xmlns:c16="http://schemas.microsoft.com/office/drawing/2014/chart" uri="{C3380CC4-5D6E-409C-BE32-E72D297353CC}">
                <c16:uniqueId val="{00000002-908E-49D9-939E-CC8FB3426255}"/>
              </c:ext>
            </c:extLst>
          </c:dPt>
          <c:dPt>
            <c:idx val="2"/>
            <c:bubble3D val="0"/>
            <c:spPr>
              <a:solidFill>
                <a:schemeClr val="accent6">
                  <a:lumMod val="40000"/>
                  <a:lumOff val="60000"/>
                </a:schemeClr>
              </a:solidFill>
              <a:ln w="25400">
                <a:noFill/>
              </a:ln>
              <a:effectLst/>
            </c:spPr>
            <c:extLst>
              <c:ext xmlns:c16="http://schemas.microsoft.com/office/drawing/2014/chart" uri="{C3380CC4-5D6E-409C-BE32-E72D297353CC}">
                <c16:uniqueId val="{00000003-908E-49D9-939E-CC8FB3426255}"/>
              </c:ext>
            </c:extLst>
          </c:dPt>
          <c:dPt>
            <c:idx val="3"/>
            <c:bubble3D val="0"/>
            <c:spPr>
              <a:solidFill>
                <a:schemeClr val="accent6">
                  <a:lumMod val="60000"/>
                  <a:lumOff val="40000"/>
                </a:schemeClr>
              </a:solidFill>
              <a:ln w="25400">
                <a:noFill/>
              </a:ln>
              <a:effectLst/>
            </c:spPr>
            <c:extLst>
              <c:ext xmlns:c16="http://schemas.microsoft.com/office/drawing/2014/chart" uri="{C3380CC4-5D6E-409C-BE32-E72D297353CC}">
                <c16:uniqueId val="{00000004-908E-49D9-939E-CC8FB3426255}"/>
              </c:ext>
            </c:extLst>
          </c:dPt>
          <c:dPt>
            <c:idx val="4"/>
            <c:bubble3D val="0"/>
            <c:spPr>
              <a:solidFill>
                <a:schemeClr val="accent6">
                  <a:lumMod val="75000"/>
                </a:schemeClr>
              </a:solidFill>
              <a:ln w="25400">
                <a:noFill/>
              </a:ln>
              <a:effectLst/>
            </c:spPr>
            <c:extLst>
              <c:ext xmlns:c16="http://schemas.microsoft.com/office/drawing/2014/chart" uri="{C3380CC4-5D6E-409C-BE32-E72D297353CC}">
                <c16:uniqueId val="{00000005-908E-49D9-939E-CC8FB3426255}"/>
              </c:ext>
            </c:extLst>
          </c:dPt>
          <c:dLbls>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FFFFFF"/>
                      </a:solidFill>
                      <a:latin typeface="Helvetica Neue"/>
                      <a:ea typeface="Helvetica Neue"/>
                      <a:cs typeface="Helvetica Neue"/>
                    </a:defRPr>
                  </a:pPr>
                  <a:endParaRPr lang="en-US"/>
                </a:p>
              </c:txPr>
              <c:showLegendKey val="0"/>
              <c:showVal val="0"/>
              <c:showCatName val="0"/>
              <c:showSerName val="0"/>
              <c:showPercent val="1"/>
              <c:showBubbleSize val="0"/>
              <c:extLst>
                <c:ext xmlns:c16="http://schemas.microsoft.com/office/drawing/2014/chart" uri="{C3380CC4-5D6E-409C-BE32-E72D297353CC}">
                  <c16:uniqueId val="{00000001-908E-49D9-939E-CC8FB3426255}"/>
                </c:ext>
              </c:extLst>
            </c:dLbl>
            <c:dLbl>
              <c:idx val="1"/>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Helvetica Neue"/>
                      <a:ea typeface="Helvetica Neue"/>
                      <a:cs typeface="Helvetica Neue"/>
                    </a:defRPr>
                  </a:pPr>
                  <a:endParaRPr lang="en-US"/>
                </a:p>
              </c:txPr>
              <c:showLegendKey val="0"/>
              <c:showVal val="0"/>
              <c:showCatName val="0"/>
              <c:showSerName val="0"/>
              <c:showPercent val="1"/>
              <c:showBubbleSize val="0"/>
              <c:extLst>
                <c:ext xmlns:c16="http://schemas.microsoft.com/office/drawing/2014/chart" uri="{C3380CC4-5D6E-409C-BE32-E72D297353CC}">
                  <c16:uniqueId val="{00000002-908E-49D9-939E-CC8FB3426255}"/>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595959"/>
                    </a:solidFill>
                    <a:latin typeface="Helvetica Neue"/>
                    <a:ea typeface="Helvetica Neue"/>
                    <a:cs typeface="Helvetica Neue"/>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BNPL!$A$356:$A$360</c:f>
              <c:strCache>
                <c:ptCount val="5"/>
                <c:pt idx="0">
                  <c:v>Klarna</c:v>
                </c:pt>
                <c:pt idx="1">
                  <c:v>Affirm</c:v>
                </c:pt>
                <c:pt idx="2">
                  <c:v>Afterpay</c:v>
                </c:pt>
                <c:pt idx="3">
                  <c:v>PayPal</c:v>
                </c:pt>
                <c:pt idx="4">
                  <c:v>Others</c:v>
                </c:pt>
              </c:strCache>
            </c:strRef>
          </c:cat>
          <c:val>
            <c:numRef>
              <c:f>BNPL!$B$356:$B$360</c:f>
              <c:numCache>
                <c:formatCode>#,##0.0</c:formatCode>
                <c:ptCount val="5"/>
                <c:pt idx="0">
                  <c:v>8.1149858623939686</c:v>
                </c:pt>
                <c:pt idx="1">
                  <c:v>5.4614070000000003</c:v>
                </c:pt>
                <c:pt idx="2" formatCode="0.0">
                  <c:v>5.2350000000000003</c:v>
                </c:pt>
                <c:pt idx="3" formatCode="0.0">
                  <c:v>4.6021978021978027</c:v>
                </c:pt>
                <c:pt idx="4">
                  <c:v>6.586409335408228</c:v>
                </c:pt>
              </c:numCache>
            </c:numRef>
          </c:val>
          <c:extLst>
            <c:ext xmlns:c16="http://schemas.microsoft.com/office/drawing/2014/chart" uri="{C3380CC4-5D6E-409C-BE32-E72D297353CC}">
              <c16:uniqueId val="{00000000-908E-49D9-939E-CC8FB3426255}"/>
            </c:ext>
          </c:extLst>
        </c:ser>
        <c:dLbls>
          <c:showLegendKey val="0"/>
          <c:showVal val="0"/>
          <c:showCatName val="0"/>
          <c:showSerName val="0"/>
          <c:showPercent val="0"/>
          <c:showBubbleSize val="0"/>
          <c:showLeaderLines val="1"/>
        </c:dLbls>
        <c:firstSliceAng val="0"/>
      </c:pieChart>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6">
                <a:lumMod val="50000"/>
              </a:schemeClr>
            </a:solidFill>
            <a:ln>
              <a:noFill/>
            </a:ln>
            <a:effectLst/>
            <a:extLst>
              <a:ext uri="{91240B29-F687-4F45-9708-019B960494DF}">
                <a14:hiddenLine xmlns:a14="http://schemas.microsoft.com/office/drawing/2010/main">
                  <a:noFill/>
                </a14:hiddenLine>
              </a:ext>
            </a:ex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595959"/>
                    </a:solidFill>
                    <a:latin typeface="Helvetica Neue"/>
                    <a:ea typeface="Helvetica Neue"/>
                    <a:cs typeface="Helvetica Neue"/>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BNPL!$B$363:$D$363</c:f>
              <c:strCache>
                <c:ptCount val="3"/>
                <c:pt idx="0">
                  <c:v>2023</c:v>
                </c:pt>
                <c:pt idx="1">
                  <c:v>2024 est</c:v>
                </c:pt>
                <c:pt idx="2">
                  <c:v>2032 est</c:v>
                </c:pt>
              </c:strCache>
            </c:strRef>
          </c:cat>
          <c:val>
            <c:numRef>
              <c:f>BNPL!$B$364:$D$364</c:f>
              <c:numCache>
                <c:formatCode>0.0</c:formatCode>
                <c:ptCount val="3"/>
                <c:pt idx="0">
                  <c:v>30</c:v>
                </c:pt>
                <c:pt idx="1">
                  <c:v>37</c:v>
                </c:pt>
                <c:pt idx="2">
                  <c:v>168</c:v>
                </c:pt>
              </c:numCache>
            </c:numRef>
          </c:val>
          <c:extLst>
            <c:ext xmlns:c16="http://schemas.microsoft.com/office/drawing/2014/chart" uri="{C3380CC4-5D6E-409C-BE32-E72D297353CC}">
              <c16:uniqueId val="{00000000-B420-4313-8AF5-30C056C4B636}"/>
            </c:ext>
          </c:extLst>
        </c:ser>
        <c:dLbls>
          <c:showLegendKey val="0"/>
          <c:showVal val="0"/>
          <c:showCatName val="0"/>
          <c:showSerName val="0"/>
          <c:showPercent val="0"/>
          <c:showBubbleSize val="0"/>
        </c:dLbls>
        <c:gapWidth val="30"/>
        <c:overlap val="-27"/>
        <c:axId val="1268365344"/>
        <c:axId val="1266127328"/>
      </c:barChart>
      <c:catAx>
        <c:axId val="1268365344"/>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1266127328"/>
        <c:crosses val="autoZero"/>
        <c:auto val="1"/>
        <c:lblAlgn val="ctr"/>
        <c:lblOffset val="100"/>
        <c:noMultiLvlLbl val="0"/>
      </c:catAx>
      <c:valAx>
        <c:axId val="1266127328"/>
        <c:scaling>
          <c:orientation val="minMax"/>
        </c:scaling>
        <c:delete val="1"/>
        <c:axPos val="l"/>
        <c:numFmt formatCode="0.0" sourceLinked="1"/>
        <c:majorTickMark val="out"/>
        <c:minorTickMark val="none"/>
        <c:tickLblPos val="nextTo"/>
        <c:crossAx val="1268365344"/>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4">
                <a:lumMod val="40000"/>
                <a:lumOff val="60000"/>
              </a:schemeClr>
            </a:solidFill>
            <a:ln>
              <a:noFill/>
            </a:ln>
            <a:effectLst/>
            <a:extLst>
              <a:ext uri="{91240B29-F687-4F45-9708-019B960494DF}">
                <a14:hiddenLine xmlns:a14="http://schemas.microsoft.com/office/drawing/2010/main">
                  <a:noFill/>
                </a14:hiddenLine>
              </a:ext>
            </a:extLst>
          </c:spPr>
          <c:invertIfNegative val="0"/>
          <c:dPt>
            <c:idx val="0"/>
            <c:invertIfNegative val="0"/>
            <c:bubble3D val="0"/>
            <c:spPr>
              <a:solidFill>
                <a:schemeClr val="accent4">
                  <a:lumMod val="60000"/>
                  <a:lumOff val="40000"/>
                </a:schemeClr>
              </a:solidFill>
              <a:ln>
                <a:noFill/>
              </a:ln>
              <a:effectLst/>
              <a:extLst>
                <a:ext uri="{91240B29-F687-4F45-9708-019B960494DF}">
                  <a14:hiddenLine xmlns:a14="http://schemas.microsoft.com/office/drawing/2010/main">
                    <a:noFill/>
                  </a14:hiddenLine>
                </a:ext>
              </a:extLst>
            </c:spPr>
            <c:extLst>
              <c:ext xmlns:c16="http://schemas.microsoft.com/office/drawing/2014/chart" uri="{C3380CC4-5D6E-409C-BE32-E72D297353CC}">
                <c16:uniqueId val="{00000003-0F93-4308-90BC-3C29A3E8B308}"/>
              </c:ext>
            </c:extLst>
          </c:dPt>
          <c:dPt>
            <c:idx val="1"/>
            <c:invertIfNegative val="0"/>
            <c:bubble3D val="0"/>
            <c:spPr>
              <a:solidFill>
                <a:schemeClr val="accent4">
                  <a:lumMod val="60000"/>
                  <a:lumOff val="40000"/>
                </a:schemeClr>
              </a:solidFill>
              <a:ln>
                <a:noFill/>
              </a:ln>
              <a:effectLst/>
              <a:extLst>
                <a:ext uri="{91240B29-F687-4F45-9708-019B960494DF}">
                  <a14:hiddenLine xmlns:a14="http://schemas.microsoft.com/office/drawing/2010/main">
                    <a:noFill/>
                  </a14:hiddenLine>
                </a:ext>
              </a:extLst>
            </c:spPr>
            <c:extLst>
              <c:ext xmlns:c16="http://schemas.microsoft.com/office/drawing/2014/chart" uri="{C3380CC4-5D6E-409C-BE32-E72D297353CC}">
                <c16:uniqueId val="{00000004-0F93-4308-90BC-3C29A3E8B308}"/>
              </c:ext>
            </c:extLst>
          </c:dPt>
          <c:dPt>
            <c:idx val="2"/>
            <c:invertIfNegative val="0"/>
            <c:bubble3D val="0"/>
            <c:spPr>
              <a:solidFill>
                <a:schemeClr val="accent4">
                  <a:lumMod val="60000"/>
                  <a:lumOff val="40000"/>
                </a:schemeClr>
              </a:solidFill>
              <a:ln>
                <a:noFill/>
              </a:ln>
              <a:effectLst/>
              <a:extLst>
                <a:ext uri="{91240B29-F687-4F45-9708-019B960494DF}">
                  <a14:hiddenLine xmlns:a14="http://schemas.microsoft.com/office/drawing/2010/main">
                    <a:noFill/>
                  </a14:hiddenLine>
                </a:ext>
              </a:extLst>
            </c:spPr>
            <c:extLst>
              <c:ext xmlns:c16="http://schemas.microsoft.com/office/drawing/2014/chart" uri="{C3380CC4-5D6E-409C-BE32-E72D297353CC}">
                <c16:uniqueId val="{00000005-0F93-4308-90BC-3C29A3E8B308}"/>
              </c:ext>
            </c:extLst>
          </c:dPt>
          <c:dPt>
            <c:idx val="3"/>
            <c:invertIfNegative val="0"/>
            <c:bubble3D val="0"/>
            <c:spPr>
              <a:solidFill>
                <a:schemeClr val="accent4">
                  <a:lumMod val="60000"/>
                  <a:lumOff val="40000"/>
                </a:schemeClr>
              </a:solidFill>
              <a:ln>
                <a:noFill/>
              </a:ln>
              <a:effectLst/>
              <a:extLst>
                <a:ext uri="{91240B29-F687-4F45-9708-019B960494DF}">
                  <a14:hiddenLine xmlns:a14="http://schemas.microsoft.com/office/drawing/2010/main">
                    <a:noFill/>
                  </a14:hiddenLine>
                </a:ext>
              </a:extLst>
            </c:spPr>
            <c:extLst>
              <c:ext xmlns:c16="http://schemas.microsoft.com/office/drawing/2014/chart" uri="{C3380CC4-5D6E-409C-BE32-E72D297353CC}">
                <c16:uniqueId val="{00000006-0F93-4308-90BC-3C29A3E8B308}"/>
              </c:ext>
            </c:extLst>
          </c:dPt>
          <c:dPt>
            <c:idx val="4"/>
            <c:invertIfNegative val="0"/>
            <c:bubble3D val="0"/>
            <c:spPr>
              <a:solidFill>
                <a:schemeClr val="accent6">
                  <a:lumMod val="60000"/>
                  <a:lumOff val="40000"/>
                </a:schemeClr>
              </a:solidFill>
              <a:ln>
                <a:noFill/>
              </a:ln>
              <a:effectLst/>
              <a:extLst>
                <a:ext uri="{91240B29-F687-4F45-9708-019B960494DF}">
                  <a14:hiddenLine xmlns:a14="http://schemas.microsoft.com/office/drawing/2010/main">
                    <a:noFill/>
                  </a14:hiddenLine>
                </a:ext>
              </a:extLst>
            </c:spPr>
            <c:extLst>
              <c:ext xmlns:c16="http://schemas.microsoft.com/office/drawing/2014/chart" uri="{C3380CC4-5D6E-409C-BE32-E72D297353CC}">
                <c16:uniqueId val="{00000000-0F93-4308-90BC-3C29A3E8B308}"/>
              </c:ext>
            </c:extLst>
          </c:dPt>
          <c:dPt>
            <c:idx val="5"/>
            <c:invertIfNegative val="0"/>
            <c:bubble3D val="0"/>
            <c:spPr>
              <a:solidFill>
                <a:schemeClr val="accent6">
                  <a:lumMod val="60000"/>
                  <a:lumOff val="40000"/>
                </a:schemeClr>
              </a:solidFill>
              <a:ln>
                <a:noFill/>
              </a:ln>
              <a:effectLst/>
              <a:extLst>
                <a:ext uri="{91240B29-F687-4F45-9708-019B960494DF}">
                  <a14:hiddenLine xmlns:a14="http://schemas.microsoft.com/office/drawing/2010/main">
                    <a:noFill/>
                  </a14:hiddenLine>
                </a:ext>
              </a:extLst>
            </c:spPr>
            <c:extLst>
              <c:ext xmlns:c16="http://schemas.microsoft.com/office/drawing/2014/chart" uri="{C3380CC4-5D6E-409C-BE32-E72D297353CC}">
                <c16:uniqueId val="{00000001-0F93-4308-90BC-3C29A3E8B308}"/>
              </c:ext>
            </c:extLst>
          </c:dPt>
          <c:dPt>
            <c:idx val="6"/>
            <c:invertIfNegative val="0"/>
            <c:bubble3D val="0"/>
            <c:spPr>
              <a:solidFill>
                <a:schemeClr val="accent6">
                  <a:lumMod val="60000"/>
                  <a:lumOff val="40000"/>
                </a:schemeClr>
              </a:solidFill>
              <a:ln>
                <a:noFill/>
              </a:ln>
              <a:effectLst/>
              <a:extLst>
                <a:ext uri="{91240B29-F687-4F45-9708-019B960494DF}">
                  <a14:hiddenLine xmlns:a14="http://schemas.microsoft.com/office/drawing/2010/main">
                    <a:noFill/>
                  </a14:hiddenLine>
                </a:ext>
              </a:extLst>
            </c:spPr>
            <c:extLst>
              <c:ext xmlns:c16="http://schemas.microsoft.com/office/drawing/2014/chart" uri="{C3380CC4-5D6E-409C-BE32-E72D297353CC}">
                <c16:uniqueId val="{00000002-0F93-4308-90BC-3C29A3E8B308}"/>
              </c:ext>
            </c:extLst>
          </c:dPt>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FFFFFF"/>
                    </a:solidFill>
                    <a:latin typeface="Helvetica Neue"/>
                    <a:ea typeface="Helvetica Neue"/>
                    <a:cs typeface="Helvetica Neue"/>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BNPL!$A$432:$A$438</c:f>
              <c:strCache>
                <c:ptCount val="7"/>
                <c:pt idx="0">
                  <c:v>Core 0% short</c:v>
                </c:pt>
                <c:pt idx="1">
                  <c:v>Core 0% long</c:v>
                </c:pt>
                <c:pt idx="2">
                  <c:v>Pay in 4</c:v>
                </c:pt>
                <c:pt idx="3">
                  <c:v>Interest bearing</c:v>
                </c:pt>
                <c:pt idx="4">
                  <c:v>Blended network fees</c:v>
                </c:pt>
                <c:pt idx="5">
                  <c:v>Interest income</c:v>
                </c:pt>
                <c:pt idx="6">
                  <c:v>Blended take-rate</c:v>
                </c:pt>
              </c:strCache>
            </c:strRef>
          </c:cat>
          <c:val>
            <c:numRef>
              <c:f>BNPL!$C$432:$C$438</c:f>
              <c:numCache>
                <c:formatCode>0.0%</c:formatCode>
                <c:ptCount val="7"/>
                <c:pt idx="0">
                  <c:v>0.06</c:v>
                </c:pt>
                <c:pt idx="1">
                  <c:v>0.12</c:v>
                </c:pt>
                <c:pt idx="2">
                  <c:v>5.2499999999999998E-2</c:v>
                </c:pt>
                <c:pt idx="3">
                  <c:v>2.5000000000000001E-2</c:v>
                </c:pt>
                <c:pt idx="4">
                  <c:v>3.111111111111111E-2</c:v>
                </c:pt>
                <c:pt idx="5">
                  <c:v>4.688888888888889E-2</c:v>
                </c:pt>
                <c:pt idx="6">
                  <c:v>7.8E-2</c:v>
                </c:pt>
              </c:numCache>
            </c:numRef>
          </c:val>
          <c:extLst>
            <c:ext xmlns:c16="http://schemas.microsoft.com/office/drawing/2014/chart" uri="{C3380CC4-5D6E-409C-BE32-E72D297353CC}">
              <c16:uniqueId val="{00000000-AA53-45D7-8329-94963188EFD1}"/>
            </c:ext>
          </c:extLst>
        </c:ser>
        <c:dLbls>
          <c:showLegendKey val="0"/>
          <c:showVal val="0"/>
          <c:showCatName val="0"/>
          <c:showSerName val="0"/>
          <c:showPercent val="0"/>
          <c:showBubbleSize val="0"/>
        </c:dLbls>
        <c:gapWidth val="30"/>
        <c:overlap val="-27"/>
        <c:axId val="1266124928"/>
        <c:axId val="421896160"/>
      </c:barChart>
      <c:catAx>
        <c:axId val="1266124928"/>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421896160"/>
        <c:crosses val="autoZero"/>
        <c:auto val="1"/>
        <c:lblAlgn val="ctr"/>
        <c:lblOffset val="100"/>
        <c:noMultiLvlLbl val="0"/>
      </c:catAx>
      <c:valAx>
        <c:axId val="421896160"/>
        <c:scaling>
          <c:orientation val="minMax"/>
        </c:scaling>
        <c:delete val="1"/>
        <c:axPos val="l"/>
        <c:numFmt formatCode="0.0%" sourceLinked="1"/>
        <c:majorTickMark val="out"/>
        <c:minorTickMark val="none"/>
        <c:tickLblPos val="nextTo"/>
        <c:crossAx val="1266124928"/>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BNPL!$A$442</c:f>
              <c:strCache>
                <c:ptCount val="1"/>
                <c:pt idx="0">
                  <c:v>Network fees</c:v>
                </c:pt>
              </c:strCache>
            </c:strRef>
          </c:tx>
          <c:spPr>
            <a:solidFill>
              <a:schemeClr val="accent6">
                <a:lumMod val="60000"/>
                <a:lumOff val="40000"/>
              </a:schemeClr>
            </a:solidFill>
            <a:ln>
              <a:noFill/>
            </a:ln>
            <a:effectLst/>
            <a:extLst>
              <a:ext uri="{91240B29-F687-4F45-9708-019B960494DF}">
                <a14:hiddenLine xmlns:a14="http://schemas.microsoft.com/office/drawing/2010/main">
                  <a:noFill/>
                </a14:hiddenLine>
              </a:ext>
            </a:ex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FFFFFF"/>
                    </a:solidFill>
                    <a:latin typeface="Helvetica Neue"/>
                    <a:ea typeface="Helvetica Neue"/>
                    <a:cs typeface="Helvetica Neue"/>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BNPL!$B$441:$K$441</c:f>
              <c:strCache>
                <c:ptCount val="10"/>
                <c:pt idx="0">
                  <c:v>Q1 22</c:v>
                </c:pt>
                <c:pt idx="1">
                  <c:v>Q2 22</c:v>
                </c:pt>
                <c:pt idx="2">
                  <c:v>Q3 22</c:v>
                </c:pt>
                <c:pt idx="3">
                  <c:v>Q4 22</c:v>
                </c:pt>
                <c:pt idx="4">
                  <c:v>Q1 23</c:v>
                </c:pt>
                <c:pt idx="5">
                  <c:v>Q2 23</c:v>
                </c:pt>
                <c:pt idx="6">
                  <c:v>Q3 23</c:v>
                </c:pt>
                <c:pt idx="7">
                  <c:v>Q4 23</c:v>
                </c:pt>
                <c:pt idx="8">
                  <c:v>Q1 24</c:v>
                </c:pt>
                <c:pt idx="9">
                  <c:v>Q2 24</c:v>
                </c:pt>
              </c:strCache>
            </c:strRef>
          </c:cat>
          <c:val>
            <c:numRef>
              <c:f>BNPL!$B$442:$K$442</c:f>
              <c:numCache>
                <c:formatCode>0.0%</c:formatCode>
                <c:ptCount val="10"/>
                <c:pt idx="0">
                  <c:v>3.5999999999999997E-2</c:v>
                </c:pt>
                <c:pt idx="1">
                  <c:v>3.3333333333333333E-2</c:v>
                </c:pt>
                <c:pt idx="2">
                  <c:v>3.1818181818181822E-2</c:v>
                </c:pt>
                <c:pt idx="3">
                  <c:v>2.9107142857142856E-2</c:v>
                </c:pt>
                <c:pt idx="4">
                  <c:v>3.1489361702127662E-2</c:v>
                </c:pt>
                <c:pt idx="5">
                  <c:v>3.1818181818181815E-2</c:v>
                </c:pt>
                <c:pt idx="6">
                  <c:v>3.1403508771929822E-2</c:v>
                </c:pt>
                <c:pt idx="7">
                  <c:v>3.04E-2</c:v>
                </c:pt>
                <c:pt idx="8">
                  <c:v>3.0952380952380953E-2</c:v>
                </c:pt>
                <c:pt idx="9">
                  <c:v>3.111111111111111E-2</c:v>
                </c:pt>
              </c:numCache>
            </c:numRef>
          </c:val>
          <c:extLst>
            <c:ext xmlns:c16="http://schemas.microsoft.com/office/drawing/2014/chart" uri="{C3380CC4-5D6E-409C-BE32-E72D297353CC}">
              <c16:uniqueId val="{00000000-109E-47B3-BD98-2974CF7281F9}"/>
            </c:ext>
          </c:extLst>
        </c:ser>
        <c:ser>
          <c:idx val="1"/>
          <c:order val="1"/>
          <c:tx>
            <c:strRef>
              <c:f>BNPL!$A$443</c:f>
              <c:strCache>
                <c:ptCount val="1"/>
                <c:pt idx="0">
                  <c:v>Interest income</c:v>
                </c:pt>
              </c:strCache>
            </c:strRef>
          </c:tx>
          <c:spPr>
            <a:solidFill>
              <a:schemeClr val="accent4">
                <a:lumMod val="60000"/>
                <a:lumOff val="40000"/>
              </a:schemeClr>
            </a:solidFill>
            <a:ln>
              <a:noFill/>
            </a:ln>
            <a:effectLst/>
            <a:extLst>
              <a:ext uri="{91240B29-F687-4F45-9708-019B960494DF}">
                <a14:hiddenLine xmlns:a14="http://schemas.microsoft.com/office/drawing/2010/main">
                  <a:noFill/>
                </a14:hiddenLine>
              </a:ext>
            </a:ex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FFFFFF"/>
                    </a:solidFill>
                    <a:latin typeface="Helvetica Neue"/>
                    <a:ea typeface="Helvetica Neue"/>
                    <a:cs typeface="Helvetica Neue"/>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BNPL!$B$441:$K$441</c:f>
              <c:strCache>
                <c:ptCount val="10"/>
                <c:pt idx="0">
                  <c:v>Q1 22</c:v>
                </c:pt>
                <c:pt idx="1">
                  <c:v>Q2 22</c:v>
                </c:pt>
                <c:pt idx="2">
                  <c:v>Q3 22</c:v>
                </c:pt>
                <c:pt idx="3">
                  <c:v>Q4 22</c:v>
                </c:pt>
                <c:pt idx="4">
                  <c:v>Q1 23</c:v>
                </c:pt>
                <c:pt idx="5">
                  <c:v>Q2 23</c:v>
                </c:pt>
                <c:pt idx="6">
                  <c:v>Q3 23</c:v>
                </c:pt>
                <c:pt idx="7">
                  <c:v>Q4 23</c:v>
                </c:pt>
                <c:pt idx="8">
                  <c:v>Q1 24</c:v>
                </c:pt>
                <c:pt idx="9">
                  <c:v>Q2 24</c:v>
                </c:pt>
              </c:strCache>
            </c:strRef>
          </c:cat>
          <c:val>
            <c:numRef>
              <c:f>BNPL!$B$443:$K$443</c:f>
              <c:numCache>
                <c:formatCode>0.0%</c:formatCode>
                <c:ptCount val="10"/>
                <c:pt idx="0">
                  <c:v>3.3750000000000002E-2</c:v>
                </c:pt>
                <c:pt idx="1">
                  <c:v>3.0666666666666665E-2</c:v>
                </c:pt>
                <c:pt idx="2">
                  <c:v>3.1136363636363643E-2</c:v>
                </c:pt>
                <c:pt idx="3">
                  <c:v>2.7678571428571427E-2</c:v>
                </c:pt>
                <c:pt idx="4">
                  <c:v>3.7872340425531913E-2</c:v>
                </c:pt>
                <c:pt idx="5">
                  <c:v>3.9090909090909093E-2</c:v>
                </c:pt>
                <c:pt idx="6">
                  <c:v>4.6140350877192982E-2</c:v>
                </c:pt>
                <c:pt idx="7">
                  <c:v>3.8399999999999997E-2</c:v>
                </c:pt>
                <c:pt idx="8">
                  <c:v>5.015873015873016E-2</c:v>
                </c:pt>
                <c:pt idx="9">
                  <c:v>4.688888888888889E-2</c:v>
                </c:pt>
              </c:numCache>
            </c:numRef>
          </c:val>
          <c:extLst>
            <c:ext xmlns:c16="http://schemas.microsoft.com/office/drawing/2014/chart" uri="{C3380CC4-5D6E-409C-BE32-E72D297353CC}">
              <c16:uniqueId val="{00000001-109E-47B3-BD98-2974CF7281F9}"/>
            </c:ext>
          </c:extLst>
        </c:ser>
        <c:dLbls>
          <c:showLegendKey val="0"/>
          <c:showVal val="0"/>
          <c:showCatName val="0"/>
          <c:showSerName val="0"/>
          <c:showPercent val="0"/>
          <c:showBubbleSize val="0"/>
        </c:dLbls>
        <c:gapWidth val="30"/>
        <c:overlap val="100"/>
        <c:axId val="1029666112"/>
        <c:axId val="1029668992"/>
      </c:barChart>
      <c:lineChart>
        <c:grouping val="standard"/>
        <c:varyColors val="0"/>
        <c:ser>
          <c:idx val="2"/>
          <c:order val="2"/>
          <c:tx>
            <c:strRef>
              <c:f>BNPL!$A$444</c:f>
              <c:strCache>
                <c:ptCount val="1"/>
                <c:pt idx="0">
                  <c:v>Total </c:v>
                </c:pt>
              </c:strCache>
            </c:strRef>
          </c:tx>
          <c:spPr>
            <a:ln w="28575" cap="rnd">
              <a:solidFill>
                <a:schemeClr val="accent6">
                  <a:lumMod val="60000"/>
                  <a:lumOff val="40000"/>
                </a:schemeClr>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595959"/>
                    </a:solidFill>
                    <a:latin typeface="Helvetica Neue"/>
                    <a:ea typeface="Helvetica Neue"/>
                    <a:cs typeface="Helvetica Neue"/>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BNPL!$B$441:$K$441</c:f>
              <c:strCache>
                <c:ptCount val="10"/>
                <c:pt idx="0">
                  <c:v>Q1 22</c:v>
                </c:pt>
                <c:pt idx="1">
                  <c:v>Q2 22</c:v>
                </c:pt>
                <c:pt idx="2">
                  <c:v>Q3 22</c:v>
                </c:pt>
                <c:pt idx="3">
                  <c:v>Q4 22</c:v>
                </c:pt>
                <c:pt idx="4">
                  <c:v>Q1 23</c:v>
                </c:pt>
                <c:pt idx="5">
                  <c:v>Q2 23</c:v>
                </c:pt>
                <c:pt idx="6">
                  <c:v>Q3 23</c:v>
                </c:pt>
                <c:pt idx="7">
                  <c:v>Q4 23</c:v>
                </c:pt>
                <c:pt idx="8">
                  <c:v>Q1 24</c:v>
                </c:pt>
                <c:pt idx="9">
                  <c:v>Q2 24</c:v>
                </c:pt>
              </c:strCache>
            </c:strRef>
          </c:cat>
          <c:val>
            <c:numRef>
              <c:f>BNPL!$B$444:$K$444</c:f>
              <c:numCache>
                <c:formatCode>0.0%</c:formatCode>
                <c:ptCount val="10"/>
                <c:pt idx="0">
                  <c:v>6.9750000000000006E-2</c:v>
                </c:pt>
                <c:pt idx="1">
                  <c:v>6.4000000000000001E-2</c:v>
                </c:pt>
                <c:pt idx="2">
                  <c:v>6.2954545454545457E-2</c:v>
                </c:pt>
                <c:pt idx="3">
                  <c:v>5.6785714285714287E-2</c:v>
                </c:pt>
                <c:pt idx="4">
                  <c:v>6.9361702127659575E-2</c:v>
                </c:pt>
                <c:pt idx="5">
                  <c:v>7.0909090909090908E-2</c:v>
                </c:pt>
                <c:pt idx="6">
                  <c:v>7.7543859649122804E-2</c:v>
                </c:pt>
                <c:pt idx="7">
                  <c:v>6.88E-2</c:v>
                </c:pt>
                <c:pt idx="8">
                  <c:v>8.1111111111111106E-2</c:v>
                </c:pt>
                <c:pt idx="9">
                  <c:v>7.8E-2</c:v>
                </c:pt>
              </c:numCache>
            </c:numRef>
          </c:val>
          <c:smooth val="0"/>
          <c:extLst>
            <c:ext xmlns:c16="http://schemas.microsoft.com/office/drawing/2014/chart" uri="{C3380CC4-5D6E-409C-BE32-E72D297353CC}">
              <c16:uniqueId val="{00000002-109E-47B3-BD98-2974CF7281F9}"/>
            </c:ext>
          </c:extLst>
        </c:ser>
        <c:dLbls>
          <c:showLegendKey val="0"/>
          <c:showVal val="0"/>
          <c:showCatName val="0"/>
          <c:showSerName val="0"/>
          <c:showPercent val="0"/>
          <c:showBubbleSize val="0"/>
        </c:dLbls>
        <c:marker val="1"/>
        <c:smooth val="0"/>
        <c:axId val="532837456"/>
        <c:axId val="532836976"/>
      </c:lineChart>
      <c:catAx>
        <c:axId val="1029666112"/>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1029668992"/>
        <c:crosses val="autoZero"/>
        <c:auto val="1"/>
        <c:lblAlgn val="ctr"/>
        <c:lblOffset val="100"/>
        <c:noMultiLvlLbl val="0"/>
      </c:catAx>
      <c:valAx>
        <c:axId val="1029668992"/>
        <c:scaling>
          <c:orientation val="minMax"/>
        </c:scaling>
        <c:delete val="1"/>
        <c:axPos val="l"/>
        <c:numFmt formatCode="0.0%" sourceLinked="1"/>
        <c:majorTickMark val="out"/>
        <c:minorTickMark val="none"/>
        <c:tickLblPos val="nextTo"/>
        <c:crossAx val="1029666112"/>
        <c:crosses val="autoZero"/>
        <c:crossBetween val="between"/>
      </c:valAx>
      <c:valAx>
        <c:axId val="532836976"/>
        <c:scaling>
          <c:orientation val="minMax"/>
        </c:scaling>
        <c:delete val="1"/>
        <c:axPos val="r"/>
        <c:numFmt formatCode="0.0%" sourceLinked="1"/>
        <c:majorTickMark val="out"/>
        <c:minorTickMark val="none"/>
        <c:tickLblPos val="nextTo"/>
        <c:crossAx val="532837456"/>
        <c:crosses val="max"/>
        <c:crossBetween val="between"/>
      </c:valAx>
      <c:catAx>
        <c:axId val="532837456"/>
        <c:scaling>
          <c:orientation val="minMax"/>
        </c:scaling>
        <c:delete val="1"/>
        <c:axPos val="b"/>
        <c:numFmt formatCode="General" sourceLinked="1"/>
        <c:majorTickMark val="out"/>
        <c:minorTickMark val="none"/>
        <c:tickLblPos val="nextTo"/>
        <c:crossAx val="532836976"/>
        <c:crosses val="autoZero"/>
        <c:auto val="1"/>
        <c:lblAlgn val="ctr"/>
        <c:lblOffset val="100"/>
        <c:noMultiLvlLbl val="0"/>
      </c:cat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6">
                <a:lumMod val="50000"/>
              </a:schemeClr>
            </a:solidFill>
            <a:ln>
              <a:noFill/>
            </a:ln>
            <a:effectLst/>
            <a:extLst>
              <a:ext uri="{91240B29-F687-4F45-9708-019B960494DF}">
                <a14:hiddenLine xmlns:a14="http://schemas.microsoft.com/office/drawing/2010/main">
                  <a:noFill/>
                </a14:hiddenLine>
              </a:ext>
            </a:ex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595959"/>
                    </a:solidFill>
                    <a:latin typeface="Helvetica Neue"/>
                    <a:ea typeface="Helvetica Neue"/>
                    <a:cs typeface="Helvetica Neue"/>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BNPL!$A$446:$A$448</c:f>
              <c:strCache>
                <c:ptCount val="3"/>
                <c:pt idx="0">
                  <c:v>Affirm</c:v>
                </c:pt>
                <c:pt idx="1">
                  <c:v>Afterpay</c:v>
                </c:pt>
                <c:pt idx="2">
                  <c:v>Klarna</c:v>
                </c:pt>
              </c:strCache>
            </c:strRef>
          </c:cat>
          <c:val>
            <c:numRef>
              <c:f>BNPL!$B$446:$B$448</c:f>
              <c:numCache>
                <c:formatCode>0.0%</c:formatCode>
                <c:ptCount val="3"/>
                <c:pt idx="0">
                  <c:v>8.1111111111111106E-2</c:v>
                </c:pt>
                <c:pt idx="1">
                  <c:v>3.8498507462686508E-2</c:v>
                </c:pt>
                <c:pt idx="2">
                  <c:v>2.5746836262420299E-2</c:v>
                </c:pt>
              </c:numCache>
            </c:numRef>
          </c:val>
          <c:extLst>
            <c:ext xmlns:c16="http://schemas.microsoft.com/office/drawing/2014/chart" uri="{C3380CC4-5D6E-409C-BE32-E72D297353CC}">
              <c16:uniqueId val="{00000000-8F13-41BE-A53C-FB78D4A43791}"/>
            </c:ext>
          </c:extLst>
        </c:ser>
        <c:dLbls>
          <c:showLegendKey val="0"/>
          <c:showVal val="0"/>
          <c:showCatName val="0"/>
          <c:showSerName val="0"/>
          <c:showPercent val="0"/>
          <c:showBubbleSize val="0"/>
        </c:dLbls>
        <c:gapWidth val="30"/>
        <c:overlap val="-27"/>
        <c:axId val="532908960"/>
        <c:axId val="532909440"/>
      </c:barChart>
      <c:catAx>
        <c:axId val="532908960"/>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532909440"/>
        <c:crosses val="autoZero"/>
        <c:auto val="1"/>
        <c:lblAlgn val="ctr"/>
        <c:lblOffset val="100"/>
        <c:noMultiLvlLbl val="0"/>
      </c:catAx>
      <c:valAx>
        <c:axId val="532909440"/>
        <c:scaling>
          <c:orientation val="minMax"/>
        </c:scaling>
        <c:delete val="1"/>
        <c:axPos val="l"/>
        <c:numFmt formatCode="0.0%" sourceLinked="1"/>
        <c:majorTickMark val="out"/>
        <c:minorTickMark val="none"/>
        <c:tickLblPos val="nextTo"/>
        <c:crossAx val="532908960"/>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6">
                <a:lumMod val="75000"/>
              </a:schemeClr>
            </a:solidFill>
            <a:ln>
              <a:noFill/>
            </a:ln>
            <a:effectLst/>
            <a:extLst>
              <a:ext uri="{91240B29-F687-4F45-9708-019B960494DF}">
                <a14:hiddenLine xmlns:a14="http://schemas.microsoft.com/office/drawing/2010/main">
                  <a:noFill/>
                </a14:hiddenLine>
              </a:ext>
            </a:ex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595959"/>
                    </a:solidFill>
                    <a:latin typeface="Helvetica Neue"/>
                    <a:ea typeface="Helvetica Neue"/>
                    <a:cs typeface="Helvetica Neue"/>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BNPL!$A$450:$A$452</c:f>
              <c:strCache>
                <c:ptCount val="3"/>
                <c:pt idx="0">
                  <c:v>Affirm</c:v>
                </c:pt>
                <c:pt idx="1">
                  <c:v>Afterpay</c:v>
                </c:pt>
                <c:pt idx="2">
                  <c:v>Klarna</c:v>
                </c:pt>
              </c:strCache>
            </c:strRef>
          </c:cat>
          <c:val>
            <c:numRef>
              <c:f>BNPL!$B$450:$B$452</c:f>
              <c:numCache>
                <c:formatCode>0.0%</c:formatCode>
                <c:ptCount val="3"/>
                <c:pt idx="0">
                  <c:v>1.9365079365079366E-2</c:v>
                </c:pt>
                <c:pt idx="1">
                  <c:v>1.9549701492537166E-2</c:v>
                </c:pt>
                <c:pt idx="2">
                  <c:v>1.1987409780884875E-2</c:v>
                </c:pt>
              </c:numCache>
            </c:numRef>
          </c:val>
          <c:extLst>
            <c:ext xmlns:c16="http://schemas.microsoft.com/office/drawing/2014/chart" uri="{C3380CC4-5D6E-409C-BE32-E72D297353CC}">
              <c16:uniqueId val="{00000000-0157-49AA-BE42-78E187B7D5A7}"/>
            </c:ext>
          </c:extLst>
        </c:ser>
        <c:dLbls>
          <c:showLegendKey val="0"/>
          <c:showVal val="0"/>
          <c:showCatName val="0"/>
          <c:showSerName val="0"/>
          <c:showPercent val="0"/>
          <c:showBubbleSize val="0"/>
        </c:dLbls>
        <c:gapWidth val="30"/>
        <c:overlap val="-27"/>
        <c:axId val="532908960"/>
        <c:axId val="532909440"/>
      </c:barChart>
      <c:catAx>
        <c:axId val="532908960"/>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532909440"/>
        <c:crosses val="autoZero"/>
        <c:auto val="1"/>
        <c:lblAlgn val="ctr"/>
        <c:lblOffset val="100"/>
        <c:noMultiLvlLbl val="0"/>
      </c:catAx>
      <c:valAx>
        <c:axId val="532909440"/>
        <c:scaling>
          <c:orientation val="minMax"/>
        </c:scaling>
        <c:delete val="1"/>
        <c:axPos val="l"/>
        <c:numFmt formatCode="0.0%" sourceLinked="1"/>
        <c:majorTickMark val="out"/>
        <c:minorTickMark val="none"/>
        <c:tickLblPos val="nextTo"/>
        <c:crossAx val="532908960"/>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BNPL!$A$477</c:f>
              <c:strCache>
                <c:ptCount val="1"/>
                <c:pt idx="0">
                  <c:v>Afterpay</c:v>
                </c:pt>
              </c:strCache>
            </c:strRef>
          </c:tx>
          <c:spPr>
            <a:ln w="25400" cap="rnd">
              <a:solidFill>
                <a:schemeClr val="accent6">
                  <a:lumMod val="75000"/>
                </a:schemeClr>
              </a:solidFill>
              <a:prstDash val="solid"/>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595959"/>
                    </a:solidFill>
                    <a:latin typeface="Helvetica Neue"/>
                    <a:ea typeface="Helvetica Neue"/>
                    <a:cs typeface="Helvetica Neue"/>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BNPL!$F$476:$K$476</c:f>
              <c:strCache>
                <c:ptCount val="6"/>
                <c:pt idx="0">
                  <c:v>Q1 23</c:v>
                </c:pt>
                <c:pt idx="1">
                  <c:v>Q2 23</c:v>
                </c:pt>
                <c:pt idx="2">
                  <c:v>Q3 23</c:v>
                </c:pt>
                <c:pt idx="3">
                  <c:v>Q4 23</c:v>
                </c:pt>
                <c:pt idx="4">
                  <c:v>Q1 24</c:v>
                </c:pt>
                <c:pt idx="5">
                  <c:v>Q2 24</c:v>
                </c:pt>
              </c:strCache>
            </c:strRef>
          </c:cat>
          <c:val>
            <c:numRef>
              <c:f>BNPL!$F$477:$K$477</c:f>
              <c:numCache>
                <c:formatCode>0%</c:formatCode>
                <c:ptCount val="6"/>
                <c:pt idx="0">
                  <c:v>0.59999999999999987</c:v>
                </c:pt>
                <c:pt idx="1">
                  <c:v>0.20754716981132093</c:v>
                </c:pt>
                <c:pt idx="2">
                  <c:v>0.2407407407407407</c:v>
                </c:pt>
                <c:pt idx="3">
                  <c:v>0.22857142857142843</c:v>
                </c:pt>
                <c:pt idx="4">
                  <c:v>0.24642857142857166</c:v>
                </c:pt>
                <c:pt idx="5">
                  <c:v>0.2109375</c:v>
                </c:pt>
              </c:numCache>
            </c:numRef>
          </c:val>
          <c:smooth val="0"/>
          <c:extLst>
            <c:ext xmlns:c16="http://schemas.microsoft.com/office/drawing/2014/chart" uri="{C3380CC4-5D6E-409C-BE32-E72D297353CC}">
              <c16:uniqueId val="{00000000-0C16-494A-B1A4-F6AC539FDC43}"/>
            </c:ext>
          </c:extLst>
        </c:ser>
        <c:ser>
          <c:idx val="1"/>
          <c:order val="1"/>
          <c:tx>
            <c:strRef>
              <c:f>BNPL!$A$478</c:f>
              <c:strCache>
                <c:ptCount val="1"/>
                <c:pt idx="0">
                  <c:v>Affirm</c:v>
                </c:pt>
              </c:strCache>
            </c:strRef>
          </c:tx>
          <c:spPr>
            <a:ln w="25400" cap="rnd">
              <a:solidFill>
                <a:schemeClr val="accent4">
                  <a:lumMod val="40000"/>
                  <a:lumOff val="60000"/>
                </a:schemeClr>
              </a:solidFill>
              <a:prstDash val="solid"/>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595959"/>
                    </a:solidFill>
                    <a:latin typeface="Helvetica Neue"/>
                    <a:ea typeface="Helvetica Neue"/>
                    <a:cs typeface="Helvetica Neue"/>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BNPL!$F$476:$K$476</c:f>
              <c:strCache>
                <c:ptCount val="6"/>
                <c:pt idx="0">
                  <c:v>Q1 23</c:v>
                </c:pt>
                <c:pt idx="1">
                  <c:v>Q2 23</c:v>
                </c:pt>
                <c:pt idx="2">
                  <c:v>Q3 23</c:v>
                </c:pt>
                <c:pt idx="3">
                  <c:v>Q4 23</c:v>
                </c:pt>
                <c:pt idx="4">
                  <c:v>Q1 24</c:v>
                </c:pt>
                <c:pt idx="5">
                  <c:v>Q2 24</c:v>
                </c:pt>
              </c:strCache>
            </c:strRef>
          </c:cat>
          <c:val>
            <c:numRef>
              <c:f>BNPL!$F$478:$K$478</c:f>
              <c:numCache>
                <c:formatCode>0%</c:formatCode>
                <c:ptCount val="6"/>
                <c:pt idx="0">
                  <c:v>0.17500000000000004</c:v>
                </c:pt>
                <c:pt idx="1">
                  <c:v>0.22222222222222232</c:v>
                </c:pt>
                <c:pt idx="2">
                  <c:v>0.29545454545454564</c:v>
                </c:pt>
                <c:pt idx="3">
                  <c:v>0.33928571428571441</c:v>
                </c:pt>
                <c:pt idx="4">
                  <c:v>0.34042553191489344</c:v>
                </c:pt>
                <c:pt idx="5">
                  <c:v>0.30909090909090908</c:v>
                </c:pt>
              </c:numCache>
            </c:numRef>
          </c:val>
          <c:smooth val="0"/>
          <c:extLst>
            <c:ext xmlns:c16="http://schemas.microsoft.com/office/drawing/2014/chart" uri="{C3380CC4-5D6E-409C-BE32-E72D297353CC}">
              <c16:uniqueId val="{00000001-0C16-494A-B1A4-F6AC539FDC43}"/>
            </c:ext>
          </c:extLst>
        </c:ser>
        <c:ser>
          <c:idx val="2"/>
          <c:order val="2"/>
          <c:tx>
            <c:strRef>
              <c:f>BNPL!$A$479</c:f>
              <c:strCache>
                <c:ptCount val="1"/>
                <c:pt idx="0">
                  <c:v>Klarna</c:v>
                </c:pt>
              </c:strCache>
            </c:strRef>
          </c:tx>
          <c:spPr>
            <a:ln w="25400" cap="rnd">
              <a:solidFill>
                <a:schemeClr val="accent3">
                  <a:lumMod val="60000"/>
                  <a:lumOff val="40000"/>
                </a:schemeClr>
              </a:solidFill>
              <a:prstDash val="solid"/>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595959"/>
                    </a:solidFill>
                    <a:latin typeface="Helvetica Neue"/>
                    <a:ea typeface="Helvetica Neue"/>
                    <a:cs typeface="Helvetica Neue"/>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BNPL!$F$476:$K$476</c:f>
              <c:strCache>
                <c:ptCount val="6"/>
                <c:pt idx="0">
                  <c:v>Q1 23</c:v>
                </c:pt>
                <c:pt idx="1">
                  <c:v>Q2 23</c:v>
                </c:pt>
                <c:pt idx="2">
                  <c:v>Q3 23</c:v>
                </c:pt>
                <c:pt idx="3">
                  <c:v>Q4 23</c:v>
                </c:pt>
                <c:pt idx="4">
                  <c:v>Q1 24</c:v>
                </c:pt>
                <c:pt idx="5">
                  <c:v>Q2 24</c:v>
                </c:pt>
              </c:strCache>
            </c:strRef>
          </c:cat>
          <c:val>
            <c:numRef>
              <c:f>BNPL!$F$479:$K$479</c:f>
              <c:numCache>
                <c:formatCode>0%</c:formatCode>
                <c:ptCount val="6"/>
                <c:pt idx="0">
                  <c:v>0.17151507551192235</c:v>
                </c:pt>
                <c:pt idx="1">
                  <c:v>0.17151507551192235</c:v>
                </c:pt>
                <c:pt idx="2">
                  <c:v>0.17151507551192235</c:v>
                </c:pt>
                <c:pt idx="3">
                  <c:v>0.17151507551192235</c:v>
                </c:pt>
                <c:pt idx="4">
                  <c:v>0.17314044879826862</c:v>
                </c:pt>
                <c:pt idx="5">
                  <c:v>0.15640926770386265</c:v>
                </c:pt>
              </c:numCache>
            </c:numRef>
          </c:val>
          <c:smooth val="0"/>
          <c:extLst>
            <c:ext xmlns:c16="http://schemas.microsoft.com/office/drawing/2014/chart" uri="{C3380CC4-5D6E-409C-BE32-E72D297353CC}">
              <c16:uniqueId val="{00000002-0C16-494A-B1A4-F6AC539FDC43}"/>
            </c:ext>
          </c:extLst>
        </c:ser>
        <c:dLbls>
          <c:showLegendKey val="0"/>
          <c:showVal val="0"/>
          <c:showCatName val="0"/>
          <c:showSerName val="0"/>
          <c:showPercent val="0"/>
          <c:showBubbleSize val="0"/>
        </c:dLbls>
        <c:smooth val="0"/>
        <c:axId val="768032128"/>
        <c:axId val="768043648"/>
      </c:lineChart>
      <c:catAx>
        <c:axId val="768032128"/>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768043648"/>
        <c:crosses val="autoZero"/>
        <c:auto val="1"/>
        <c:lblAlgn val="ctr"/>
        <c:lblOffset val="100"/>
        <c:noMultiLvlLbl val="0"/>
      </c:catAx>
      <c:valAx>
        <c:axId val="768043648"/>
        <c:scaling>
          <c:orientation val="minMax"/>
        </c:scaling>
        <c:delete val="1"/>
        <c:axPos val="l"/>
        <c:numFmt formatCode="0%" sourceLinked="1"/>
        <c:majorTickMark val="out"/>
        <c:minorTickMark val="none"/>
        <c:tickLblPos val="nextTo"/>
        <c:crossAx val="768032128"/>
        <c:crosses val="autoZero"/>
        <c:crossBetween val="between"/>
      </c:val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BNPL!$A$505</c:f>
              <c:strCache>
                <c:ptCount val="1"/>
                <c:pt idx="0">
                  <c:v>Affirm</c:v>
                </c:pt>
              </c:strCache>
            </c:strRef>
          </c:tx>
          <c:spPr>
            <a:solidFill>
              <a:schemeClr val="accent6">
                <a:lumMod val="75000"/>
              </a:schemeClr>
            </a:solidFill>
            <a:ln>
              <a:noFill/>
            </a:ln>
            <a:effectLst/>
            <a:extLst>
              <a:ext uri="{91240B29-F687-4F45-9708-019B960494DF}">
                <a14:hiddenLine xmlns:a14="http://schemas.microsoft.com/office/drawing/2010/main">
                  <a:noFill/>
                </a14:hiddenLine>
              </a:ext>
            </a:ex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FFFFFF"/>
                    </a:solidFill>
                    <a:latin typeface="Helvetica Neue"/>
                    <a:ea typeface="Helvetica Neue"/>
                    <a:cs typeface="Helvetica Neue"/>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BNPL!$B$504:$K$504</c:f>
              <c:strCache>
                <c:ptCount val="10"/>
                <c:pt idx="0">
                  <c:v>Q1 22</c:v>
                </c:pt>
                <c:pt idx="1">
                  <c:v>Q2 22</c:v>
                </c:pt>
                <c:pt idx="2">
                  <c:v>Q3 22</c:v>
                </c:pt>
                <c:pt idx="3">
                  <c:v>Q4 22</c:v>
                </c:pt>
                <c:pt idx="4">
                  <c:v>Q1 23</c:v>
                </c:pt>
                <c:pt idx="5">
                  <c:v>Q2 23</c:v>
                </c:pt>
                <c:pt idx="6">
                  <c:v>Q3 23</c:v>
                </c:pt>
                <c:pt idx="7">
                  <c:v>Q4 23</c:v>
                </c:pt>
                <c:pt idx="8">
                  <c:v>Q1 24</c:v>
                </c:pt>
                <c:pt idx="9">
                  <c:v>Q2 24</c:v>
                </c:pt>
              </c:strCache>
            </c:strRef>
          </c:cat>
          <c:val>
            <c:numRef>
              <c:f>BNPL!$B$505:$K$505</c:f>
              <c:numCache>
                <c:formatCode>0%</c:formatCode>
                <c:ptCount val="10"/>
                <c:pt idx="0">
                  <c:v>0</c:v>
                </c:pt>
                <c:pt idx="1">
                  <c:v>-0.38461538461538464</c:v>
                </c:pt>
                <c:pt idx="2">
                  <c:v>-0.38121546961325969</c:v>
                </c:pt>
                <c:pt idx="3">
                  <c:v>-0.46</c:v>
                </c:pt>
                <c:pt idx="4">
                  <c:v>-0.29658792650918636</c:v>
                </c:pt>
                <c:pt idx="5">
                  <c:v>-0.2</c:v>
                </c:pt>
                <c:pt idx="6">
                  <c:v>-0.10462776659959759</c:v>
                </c:pt>
                <c:pt idx="7">
                  <c:v>3.3840947546531302E-3</c:v>
                </c:pt>
                <c:pt idx="8">
                  <c:v>1.736111111111111E-3</c:v>
                </c:pt>
                <c:pt idx="9">
                  <c:v>0.12898330804248861</c:v>
                </c:pt>
              </c:numCache>
            </c:numRef>
          </c:val>
          <c:extLst>
            <c:ext xmlns:c16="http://schemas.microsoft.com/office/drawing/2014/chart" uri="{C3380CC4-5D6E-409C-BE32-E72D297353CC}">
              <c16:uniqueId val="{00000000-12F1-4645-A373-10196843F874}"/>
            </c:ext>
          </c:extLst>
        </c:ser>
        <c:ser>
          <c:idx val="1"/>
          <c:order val="1"/>
          <c:tx>
            <c:strRef>
              <c:f>BNPL!$A$506</c:f>
              <c:strCache>
                <c:ptCount val="1"/>
                <c:pt idx="0">
                  <c:v>Klarna</c:v>
                </c:pt>
              </c:strCache>
            </c:strRef>
          </c:tx>
          <c:spPr>
            <a:solidFill>
              <a:schemeClr val="accent4">
                <a:lumMod val="60000"/>
                <a:lumOff val="40000"/>
              </a:schemeClr>
            </a:solidFill>
            <a:ln>
              <a:noFill/>
            </a:ln>
            <a:effectLst/>
            <a:extLst>
              <a:ext uri="{91240B29-F687-4F45-9708-019B960494DF}">
                <a14:hiddenLine xmlns:a14="http://schemas.microsoft.com/office/drawing/2010/main">
                  <a:noFill/>
                </a14:hiddenLine>
              </a:ext>
            </a:ex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Helvetica Neue"/>
                    <a:ea typeface="Helvetica Neue"/>
                    <a:cs typeface="Helvetica Neue"/>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BNPL!$B$504:$K$504</c:f>
              <c:strCache>
                <c:ptCount val="10"/>
                <c:pt idx="0">
                  <c:v>Q1 22</c:v>
                </c:pt>
                <c:pt idx="1">
                  <c:v>Q2 22</c:v>
                </c:pt>
                <c:pt idx="2">
                  <c:v>Q3 22</c:v>
                </c:pt>
                <c:pt idx="3">
                  <c:v>Q4 22</c:v>
                </c:pt>
                <c:pt idx="4">
                  <c:v>Q1 23</c:v>
                </c:pt>
                <c:pt idx="5">
                  <c:v>Q2 23</c:v>
                </c:pt>
                <c:pt idx="6">
                  <c:v>Q3 23</c:v>
                </c:pt>
                <c:pt idx="7">
                  <c:v>Q4 23</c:v>
                </c:pt>
                <c:pt idx="8">
                  <c:v>Q1 24</c:v>
                </c:pt>
                <c:pt idx="9">
                  <c:v>Q2 24</c:v>
                </c:pt>
              </c:strCache>
            </c:strRef>
          </c:cat>
          <c:val>
            <c:numRef>
              <c:f>BNPL!$B$506:$K$506</c:f>
              <c:numCache>
                <c:formatCode>General</c:formatCode>
                <c:ptCount val="10"/>
                <c:pt idx="4" formatCode="0%">
                  <c:v>-0.37724792887452008</c:v>
                </c:pt>
                <c:pt idx="5" formatCode="0%">
                  <c:v>-9.5212285456187901E-2</c:v>
                </c:pt>
                <c:pt idx="6" formatCode="0%">
                  <c:v>-0.26827956989247309</c:v>
                </c:pt>
                <c:pt idx="7" formatCode="0%">
                  <c:v>-0.26827956989247309</c:v>
                </c:pt>
                <c:pt idx="8" formatCode="0%">
                  <c:v>-0.11015084852294155</c:v>
                </c:pt>
                <c:pt idx="9" formatCode="0%">
                  <c:v>-4.7639733565015926E-2</c:v>
                </c:pt>
              </c:numCache>
            </c:numRef>
          </c:val>
          <c:extLst>
            <c:ext xmlns:c16="http://schemas.microsoft.com/office/drawing/2014/chart" uri="{C3380CC4-5D6E-409C-BE32-E72D297353CC}">
              <c16:uniqueId val="{00000001-12F1-4645-A373-10196843F874}"/>
            </c:ext>
          </c:extLst>
        </c:ser>
        <c:dLbls>
          <c:showLegendKey val="0"/>
          <c:showVal val="0"/>
          <c:showCatName val="0"/>
          <c:showSerName val="0"/>
          <c:showPercent val="0"/>
          <c:showBubbleSize val="0"/>
        </c:dLbls>
        <c:gapWidth val="30"/>
        <c:overlap val="-27"/>
        <c:axId val="1323888479"/>
        <c:axId val="1316211775"/>
      </c:barChart>
      <c:catAx>
        <c:axId val="1323888479"/>
        <c:scaling>
          <c:orientation val="minMax"/>
        </c:scaling>
        <c:delete val="0"/>
        <c:axPos val="b"/>
        <c:numFmt formatCode="General" sourceLinked="1"/>
        <c:majorTickMark val="out"/>
        <c:minorTickMark val="none"/>
        <c:tickLblPos val="high"/>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1316211775"/>
        <c:crosses val="autoZero"/>
        <c:auto val="1"/>
        <c:lblAlgn val="ctr"/>
        <c:lblOffset val="100"/>
        <c:noMultiLvlLbl val="0"/>
      </c:catAx>
      <c:valAx>
        <c:axId val="1316211775"/>
        <c:scaling>
          <c:orientation val="minMax"/>
        </c:scaling>
        <c:delete val="1"/>
        <c:axPos val="l"/>
        <c:numFmt formatCode="0%" sourceLinked="1"/>
        <c:majorTickMark val="out"/>
        <c:minorTickMark val="none"/>
        <c:tickLblPos val="nextTo"/>
        <c:crossAx val="1323888479"/>
        <c:crosses val="autoZero"/>
        <c:crossBetween val="between"/>
      </c:val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BNPL!$A$500</c:f>
              <c:strCache>
                <c:ptCount val="1"/>
                <c:pt idx="0">
                  <c:v>Affirm</c:v>
                </c:pt>
              </c:strCache>
            </c:strRef>
          </c:tx>
          <c:spPr>
            <a:solidFill>
              <a:schemeClr val="accent6">
                <a:lumMod val="75000"/>
              </a:schemeClr>
            </a:solidFill>
            <a:ln>
              <a:noFill/>
            </a:ln>
            <a:effectLst/>
            <a:extLst>
              <a:ext uri="{91240B29-F687-4F45-9708-019B960494DF}">
                <a14:hiddenLine xmlns:a14="http://schemas.microsoft.com/office/drawing/2010/main">
                  <a:noFill/>
                </a14:hiddenLine>
              </a:ext>
            </a:extLst>
          </c:spPr>
          <c:invertIfNegative val="0"/>
          <c:cat>
            <c:strRef>
              <c:f>BNPL!$B$499:$K$499</c:f>
              <c:strCache>
                <c:ptCount val="10"/>
                <c:pt idx="0">
                  <c:v>Q1 22</c:v>
                </c:pt>
                <c:pt idx="1">
                  <c:v>Q2 22</c:v>
                </c:pt>
                <c:pt idx="2">
                  <c:v>Q3 22</c:v>
                </c:pt>
                <c:pt idx="3">
                  <c:v>Q4 22</c:v>
                </c:pt>
                <c:pt idx="4">
                  <c:v>Q1 23</c:v>
                </c:pt>
                <c:pt idx="5">
                  <c:v>Q2 23</c:v>
                </c:pt>
                <c:pt idx="6">
                  <c:v>Q3 23</c:v>
                </c:pt>
                <c:pt idx="7">
                  <c:v>Q4 23</c:v>
                </c:pt>
                <c:pt idx="8">
                  <c:v>Q1 24</c:v>
                </c:pt>
                <c:pt idx="9">
                  <c:v>Q2 24</c:v>
                </c:pt>
              </c:strCache>
            </c:strRef>
          </c:cat>
          <c:val>
            <c:numRef>
              <c:f>BNPL!$B$500:$K$500</c:f>
              <c:numCache>
                <c:formatCode>0%</c:formatCode>
                <c:ptCount val="10"/>
                <c:pt idx="0">
                  <c:v>0.51549295774647885</c:v>
                </c:pt>
                <c:pt idx="1">
                  <c:v>0.50549450549450547</c:v>
                </c:pt>
                <c:pt idx="2">
                  <c:v>0.50552486187845302</c:v>
                </c:pt>
                <c:pt idx="3">
                  <c:v>0.36249999999999999</c:v>
                </c:pt>
                <c:pt idx="4">
                  <c:v>0.43832020997375326</c:v>
                </c:pt>
                <c:pt idx="5">
                  <c:v>0.40674157303370789</c:v>
                </c:pt>
                <c:pt idx="6">
                  <c:v>0.42857142857142855</c:v>
                </c:pt>
                <c:pt idx="7">
                  <c:v>0.40947546531302875</c:v>
                </c:pt>
                <c:pt idx="8">
                  <c:v>0.40104166666666669</c:v>
                </c:pt>
                <c:pt idx="9">
                  <c:v>0.46889226100151743</c:v>
                </c:pt>
              </c:numCache>
            </c:numRef>
          </c:val>
          <c:extLst>
            <c:ext xmlns:c16="http://schemas.microsoft.com/office/drawing/2014/chart" uri="{C3380CC4-5D6E-409C-BE32-E72D297353CC}">
              <c16:uniqueId val="{00000000-73DE-4401-A76F-61373DB55498}"/>
            </c:ext>
          </c:extLst>
        </c:ser>
        <c:ser>
          <c:idx val="1"/>
          <c:order val="1"/>
          <c:tx>
            <c:strRef>
              <c:f>BNPL!$A$501</c:f>
              <c:strCache>
                <c:ptCount val="1"/>
                <c:pt idx="0">
                  <c:v>Afterpay</c:v>
                </c:pt>
              </c:strCache>
            </c:strRef>
          </c:tx>
          <c:spPr>
            <a:solidFill>
              <a:schemeClr val="accent4">
                <a:lumMod val="60000"/>
                <a:lumOff val="40000"/>
              </a:schemeClr>
            </a:solidFill>
            <a:ln>
              <a:noFill/>
            </a:ln>
            <a:effectLst/>
            <a:extLst>
              <a:ext uri="{91240B29-F687-4F45-9708-019B960494DF}">
                <a14:hiddenLine xmlns:a14="http://schemas.microsoft.com/office/drawing/2010/main">
                  <a:noFill/>
                </a14:hiddenLine>
              </a:ext>
            </a:extLst>
          </c:spPr>
          <c:invertIfNegative val="0"/>
          <c:dLbls>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rgbClr val="595959"/>
                    </a:solidFill>
                    <a:latin typeface="Helvetica Neue"/>
                    <a:ea typeface="Helvetica Neue"/>
                    <a:cs typeface="Helvetica Neue"/>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BNPL!$B$499:$K$499</c:f>
              <c:strCache>
                <c:ptCount val="10"/>
                <c:pt idx="0">
                  <c:v>Q1 22</c:v>
                </c:pt>
                <c:pt idx="1">
                  <c:v>Q2 22</c:v>
                </c:pt>
                <c:pt idx="2">
                  <c:v>Q3 22</c:v>
                </c:pt>
                <c:pt idx="3">
                  <c:v>Q4 22</c:v>
                </c:pt>
                <c:pt idx="4">
                  <c:v>Q1 23</c:v>
                </c:pt>
                <c:pt idx="5">
                  <c:v>Q2 23</c:v>
                </c:pt>
                <c:pt idx="6">
                  <c:v>Q3 23</c:v>
                </c:pt>
                <c:pt idx="7">
                  <c:v>Q4 23</c:v>
                </c:pt>
                <c:pt idx="8">
                  <c:v>Q1 24</c:v>
                </c:pt>
                <c:pt idx="9">
                  <c:v>Q2 24</c:v>
                </c:pt>
              </c:strCache>
            </c:strRef>
          </c:cat>
          <c:val>
            <c:numRef>
              <c:f>BNPL!$B$501:$K$501</c:f>
              <c:numCache>
                <c:formatCode>0%</c:formatCode>
                <c:ptCount val="10"/>
                <c:pt idx="0">
                  <c:v>0.39557196140686091</c:v>
                </c:pt>
                <c:pt idx="1">
                  <c:v>0.45928168168168232</c:v>
                </c:pt>
                <c:pt idx="2">
                  <c:v>0.46629162637603433</c:v>
                </c:pt>
                <c:pt idx="3">
                  <c:v>0.47993261547567645</c:v>
                </c:pt>
                <c:pt idx="4">
                  <c:v>0.52847360045772596</c:v>
                </c:pt>
                <c:pt idx="5">
                  <c:v>0.44105217106911659</c:v>
                </c:pt>
                <c:pt idx="6">
                  <c:v>0.5078041404977871</c:v>
                </c:pt>
              </c:numCache>
            </c:numRef>
          </c:val>
          <c:extLst>
            <c:ext xmlns:c16="http://schemas.microsoft.com/office/drawing/2014/chart" uri="{C3380CC4-5D6E-409C-BE32-E72D297353CC}">
              <c16:uniqueId val="{00000001-73DE-4401-A76F-61373DB55498}"/>
            </c:ext>
          </c:extLst>
        </c:ser>
        <c:ser>
          <c:idx val="2"/>
          <c:order val="2"/>
          <c:tx>
            <c:strRef>
              <c:f>BNPL!$A$502</c:f>
              <c:strCache>
                <c:ptCount val="1"/>
                <c:pt idx="0">
                  <c:v>Klarna</c:v>
                </c:pt>
              </c:strCache>
            </c:strRef>
          </c:tx>
          <c:spPr>
            <a:solidFill>
              <a:schemeClr val="accent6">
                <a:lumMod val="40000"/>
                <a:lumOff val="60000"/>
              </a:schemeClr>
            </a:solidFill>
            <a:ln>
              <a:noFill/>
            </a:ln>
            <a:effectLst/>
            <a:extLst>
              <a:ext uri="{91240B29-F687-4F45-9708-019B960494DF}">
                <a14:hiddenLine xmlns:a14="http://schemas.microsoft.com/office/drawing/2010/main">
                  <a:noFill/>
                </a14:hiddenLine>
              </a:ext>
            </a:extLst>
          </c:spPr>
          <c:invertIfNegative val="0"/>
          <c:cat>
            <c:strRef>
              <c:f>BNPL!$B$499:$K$499</c:f>
              <c:strCache>
                <c:ptCount val="10"/>
                <c:pt idx="0">
                  <c:v>Q1 22</c:v>
                </c:pt>
                <c:pt idx="1">
                  <c:v>Q2 22</c:v>
                </c:pt>
                <c:pt idx="2">
                  <c:v>Q3 22</c:v>
                </c:pt>
                <c:pt idx="3">
                  <c:v>Q4 22</c:v>
                </c:pt>
                <c:pt idx="4">
                  <c:v>Q1 23</c:v>
                </c:pt>
                <c:pt idx="5">
                  <c:v>Q2 23</c:v>
                </c:pt>
                <c:pt idx="6">
                  <c:v>Q3 23</c:v>
                </c:pt>
                <c:pt idx="7">
                  <c:v>Q4 23</c:v>
                </c:pt>
                <c:pt idx="8">
                  <c:v>Q1 24</c:v>
                </c:pt>
                <c:pt idx="9">
                  <c:v>Q2 24</c:v>
                </c:pt>
              </c:strCache>
            </c:strRef>
          </c:cat>
          <c:val>
            <c:numRef>
              <c:f>BNPL!$B$502:$K$502</c:f>
              <c:numCache>
                <c:formatCode>General</c:formatCode>
                <c:ptCount val="10"/>
                <c:pt idx="4" formatCode="0%">
                  <c:v>0.4916144675692059</c:v>
                </c:pt>
                <c:pt idx="5" formatCode="0%">
                  <c:v>0.4941282746160795</c:v>
                </c:pt>
                <c:pt idx="6" formatCode="0%">
                  <c:v>0.50030721966205838</c:v>
                </c:pt>
                <c:pt idx="7" formatCode="0%">
                  <c:v>0.50030721966205838</c:v>
                </c:pt>
                <c:pt idx="8" formatCode="0%">
                  <c:v>0.46558768070395978</c:v>
                </c:pt>
                <c:pt idx="9" formatCode="0%">
                  <c:v>0.48508543295684914</c:v>
                </c:pt>
              </c:numCache>
            </c:numRef>
          </c:val>
          <c:extLst>
            <c:ext xmlns:c16="http://schemas.microsoft.com/office/drawing/2014/chart" uri="{C3380CC4-5D6E-409C-BE32-E72D297353CC}">
              <c16:uniqueId val="{00000002-73DE-4401-A76F-61373DB55498}"/>
            </c:ext>
          </c:extLst>
        </c:ser>
        <c:dLbls>
          <c:showLegendKey val="0"/>
          <c:showVal val="0"/>
          <c:showCatName val="0"/>
          <c:showSerName val="0"/>
          <c:showPercent val="0"/>
          <c:showBubbleSize val="0"/>
        </c:dLbls>
        <c:gapWidth val="30"/>
        <c:overlap val="-27"/>
        <c:axId val="1519883887"/>
        <c:axId val="1519877167"/>
      </c:barChart>
      <c:catAx>
        <c:axId val="1519883887"/>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1519877167"/>
        <c:crosses val="autoZero"/>
        <c:auto val="1"/>
        <c:lblAlgn val="ctr"/>
        <c:lblOffset val="100"/>
        <c:noMultiLvlLbl val="0"/>
      </c:catAx>
      <c:valAx>
        <c:axId val="1519877167"/>
        <c:scaling>
          <c:orientation val="minMax"/>
        </c:scaling>
        <c:delete val="0"/>
        <c:axPos val="l"/>
        <c:numFmt formatCode="0%" sourceLinked="1"/>
        <c:majorTickMark val="out"/>
        <c:minorTickMark val="none"/>
        <c:tickLblPos val="nextTo"/>
        <c:spPr>
          <a:noFill/>
          <a:ln>
            <a:solidFill>
              <a:srgbClr val="B3B3B3"/>
            </a:solidFill>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1519883887"/>
        <c:crosses val="autoZero"/>
        <c:crossBetween val="between"/>
      </c:val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Analysis!$B$144</c:f>
              <c:strCache>
                <c:ptCount val="1"/>
                <c:pt idx="0">
                  <c:v>Revenue</c:v>
                </c:pt>
              </c:strCache>
            </c:strRef>
          </c:tx>
          <c:spPr>
            <a:solidFill>
              <a:schemeClr val="accent6">
                <a:lumMod val="60000"/>
                <a:lumOff val="40000"/>
              </a:schemeClr>
            </a:solidFill>
            <a:ln>
              <a:noFill/>
            </a:ln>
            <a:effectLst/>
            <a:extLst>
              <a:ext uri="{91240B29-F687-4F45-9708-019B960494DF}">
                <a14:hiddenLine xmlns:a14="http://schemas.microsoft.com/office/drawing/2010/main">
                  <a:noFill/>
                </a14:hiddenLine>
              </a:ext>
            </a:ex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Helvetica Neue"/>
                    <a:ea typeface="Helvetica Neue"/>
                    <a:cs typeface="Helvetica Neue"/>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Analysis!$E$143:$L$143</c:f>
              <c:strCache>
                <c:ptCount val="8"/>
                <c:pt idx="0">
                  <c:v>Q3 22</c:v>
                </c:pt>
                <c:pt idx="1">
                  <c:v>Q4 22</c:v>
                </c:pt>
                <c:pt idx="2">
                  <c:v>Q1 23</c:v>
                </c:pt>
                <c:pt idx="3">
                  <c:v>Q2 23</c:v>
                </c:pt>
                <c:pt idx="4">
                  <c:v>Q3 23</c:v>
                </c:pt>
                <c:pt idx="5">
                  <c:v>Q4 23</c:v>
                </c:pt>
                <c:pt idx="6">
                  <c:v>Q1 24</c:v>
                </c:pt>
                <c:pt idx="7">
                  <c:v>Q2 24</c:v>
                </c:pt>
              </c:strCache>
            </c:strRef>
          </c:cat>
          <c:val>
            <c:numRef>
              <c:f>Analysis!$E$144:$L$144</c:f>
              <c:numCache>
                <c:formatCode>0.0%</c:formatCode>
                <c:ptCount val="8"/>
                <c:pt idx="0">
                  <c:v>4.6670609995789016E-2</c:v>
                </c:pt>
                <c:pt idx="1">
                  <c:v>4.5277473228769252E-2</c:v>
                </c:pt>
                <c:pt idx="2">
                  <c:v>4.3187429978693195E-2</c:v>
                </c:pt>
                <c:pt idx="3">
                  <c:v>4.5381222556489048E-2</c:v>
                </c:pt>
                <c:pt idx="4">
                  <c:v>4.8141342382267742E-2</c:v>
                </c:pt>
                <c:pt idx="5">
                  <c:v>4.7353325096401687E-2</c:v>
                </c:pt>
                <c:pt idx="6">
                  <c:v>4.5345402421058924E-2</c:v>
                </c:pt>
                <c:pt idx="7">
                  <c:v>4.4210822942384376E-2</c:v>
                </c:pt>
              </c:numCache>
            </c:numRef>
          </c:val>
          <c:extLst>
            <c:ext xmlns:c16="http://schemas.microsoft.com/office/drawing/2014/chart" uri="{C3380CC4-5D6E-409C-BE32-E72D297353CC}">
              <c16:uniqueId val="{00000000-FD7F-4690-A927-AC9FF48823DC}"/>
            </c:ext>
          </c:extLst>
        </c:ser>
        <c:ser>
          <c:idx val="1"/>
          <c:order val="1"/>
          <c:tx>
            <c:strRef>
              <c:f>Analysis!$B$145</c:f>
              <c:strCache>
                <c:ptCount val="1"/>
                <c:pt idx="0">
                  <c:v>Gross profit</c:v>
                </c:pt>
              </c:strCache>
            </c:strRef>
          </c:tx>
          <c:spPr>
            <a:solidFill>
              <a:schemeClr val="accent3">
                <a:lumMod val="60000"/>
                <a:lumOff val="40000"/>
              </a:schemeClr>
            </a:solidFill>
            <a:ln>
              <a:noFill/>
            </a:ln>
            <a:effectLst/>
            <a:extLst>
              <a:ext uri="{91240B29-F687-4F45-9708-019B960494DF}">
                <a14:hiddenLine xmlns:a14="http://schemas.microsoft.com/office/drawing/2010/main">
                  <a:noFill/>
                </a14:hiddenLine>
              </a:ext>
            </a:ex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FFFFFF"/>
                    </a:solidFill>
                    <a:latin typeface="Helvetica Neue"/>
                    <a:ea typeface="Helvetica Neue"/>
                    <a:cs typeface="Helvetica Neue"/>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Analysis!$E$143:$L$143</c:f>
              <c:strCache>
                <c:ptCount val="8"/>
                <c:pt idx="0">
                  <c:v>Q3 22</c:v>
                </c:pt>
                <c:pt idx="1">
                  <c:v>Q4 22</c:v>
                </c:pt>
                <c:pt idx="2">
                  <c:v>Q1 23</c:v>
                </c:pt>
                <c:pt idx="3">
                  <c:v>Q2 23</c:v>
                </c:pt>
                <c:pt idx="4">
                  <c:v>Q3 23</c:v>
                </c:pt>
                <c:pt idx="5">
                  <c:v>Q4 23</c:v>
                </c:pt>
                <c:pt idx="6">
                  <c:v>Q1 24</c:v>
                </c:pt>
                <c:pt idx="7">
                  <c:v>Q2 24</c:v>
                </c:pt>
              </c:strCache>
            </c:strRef>
          </c:cat>
          <c:val>
            <c:numRef>
              <c:f>Analysis!$E$145:$L$145</c:f>
              <c:numCache>
                <c:formatCode>0.0%</c:formatCode>
                <c:ptCount val="8"/>
                <c:pt idx="0">
                  <c:v>6.8324972851263779E-2</c:v>
                </c:pt>
                <c:pt idx="1">
                  <c:v>5.9093883526210617E-2</c:v>
                </c:pt>
                <c:pt idx="2">
                  <c:v>6.5723905656563608E-2</c:v>
                </c:pt>
                <c:pt idx="3">
                  <c:v>6.9024297063691606E-2</c:v>
                </c:pt>
                <c:pt idx="4">
                  <c:v>7.2389259364068537E-2</c:v>
                </c:pt>
                <c:pt idx="5">
                  <c:v>6.9127893746504951E-2</c:v>
                </c:pt>
                <c:pt idx="6">
                  <c:v>7.032723390993606E-2</c:v>
                </c:pt>
                <c:pt idx="7">
                  <c:v>5.8829815944566509E-2</c:v>
                </c:pt>
              </c:numCache>
            </c:numRef>
          </c:val>
          <c:extLst>
            <c:ext xmlns:c16="http://schemas.microsoft.com/office/drawing/2014/chart" uri="{C3380CC4-5D6E-409C-BE32-E72D297353CC}">
              <c16:uniqueId val="{00000001-ABE5-43CE-9FF0-67DF77AFC64F}"/>
            </c:ext>
          </c:extLst>
        </c:ser>
        <c:dLbls>
          <c:showLegendKey val="0"/>
          <c:showVal val="0"/>
          <c:showCatName val="0"/>
          <c:showSerName val="0"/>
          <c:showPercent val="0"/>
          <c:showBubbleSize val="0"/>
        </c:dLbls>
        <c:gapWidth val="30"/>
        <c:axId val="1904121152"/>
        <c:axId val="1904138432"/>
      </c:barChart>
      <c:catAx>
        <c:axId val="1904121152"/>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1904138432"/>
        <c:crosses val="autoZero"/>
        <c:auto val="1"/>
        <c:lblAlgn val="ctr"/>
        <c:lblOffset val="100"/>
        <c:noMultiLvlLbl val="0"/>
      </c:catAx>
      <c:valAx>
        <c:axId val="1904138432"/>
        <c:scaling>
          <c:orientation val="minMax"/>
        </c:scaling>
        <c:delete val="1"/>
        <c:axPos val="l"/>
        <c:numFmt formatCode="0.0%" sourceLinked="1"/>
        <c:majorTickMark val="out"/>
        <c:minorTickMark val="none"/>
        <c:tickLblPos val="nextTo"/>
        <c:crossAx val="1904121152"/>
        <c:crosses val="autoZero"/>
        <c:crossBetween val="between"/>
      </c:val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BNPL!$A$533</c:f>
              <c:strCache>
                <c:ptCount val="1"/>
                <c:pt idx="0">
                  <c:v>Afterpay</c:v>
                </c:pt>
              </c:strCache>
            </c:strRef>
          </c:tx>
          <c:spPr>
            <a:solidFill>
              <a:schemeClr val="accent6">
                <a:lumMod val="75000"/>
              </a:schemeClr>
            </a:solidFill>
            <a:ln>
              <a:noFill/>
            </a:ln>
            <a:effectLst/>
            <a:extLst>
              <a:ext uri="{91240B29-F687-4F45-9708-019B960494DF}">
                <a14:hiddenLine xmlns:a14="http://schemas.microsoft.com/office/drawing/2010/main">
                  <a:noFill/>
                </a14:hiddenLine>
              </a:ext>
            </a:ex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Helvetica Neue"/>
                    <a:ea typeface="Helvetica Neue"/>
                    <a:cs typeface="Helvetica Neue"/>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BNPL!$B$532:$H$532</c:f>
              <c:numCache>
                <c:formatCode>General</c:formatCode>
                <c:ptCount val="7"/>
                <c:pt idx="0">
                  <c:v>2022</c:v>
                </c:pt>
                <c:pt idx="1">
                  <c:v>2023</c:v>
                </c:pt>
                <c:pt idx="2">
                  <c:v>2024</c:v>
                </c:pt>
                <c:pt idx="3">
                  <c:v>2025</c:v>
                </c:pt>
                <c:pt idx="4">
                  <c:v>2026</c:v>
                </c:pt>
                <c:pt idx="5">
                  <c:v>2027</c:v>
                </c:pt>
                <c:pt idx="6">
                  <c:v>2028</c:v>
                </c:pt>
              </c:numCache>
            </c:numRef>
          </c:cat>
          <c:val>
            <c:numRef>
              <c:f>BNPL!$B$533:$H$533</c:f>
              <c:numCache>
                <c:formatCode>0.0</c:formatCode>
                <c:ptCount val="7"/>
                <c:pt idx="0">
                  <c:v>21.2</c:v>
                </c:pt>
                <c:pt idx="1">
                  <c:v>27.3</c:v>
                </c:pt>
                <c:pt idx="2">
                  <c:v>33.033000000000001</c:v>
                </c:pt>
                <c:pt idx="3">
                  <c:v>41.291250000000005</c:v>
                </c:pt>
                <c:pt idx="4">
                  <c:v>52.852800000000009</c:v>
                </c:pt>
                <c:pt idx="5">
                  <c:v>66.066000000000017</c:v>
                </c:pt>
                <c:pt idx="6">
                  <c:v>79.279200000000017</c:v>
                </c:pt>
              </c:numCache>
            </c:numRef>
          </c:val>
          <c:extLst>
            <c:ext xmlns:c16="http://schemas.microsoft.com/office/drawing/2014/chart" uri="{C3380CC4-5D6E-409C-BE32-E72D297353CC}">
              <c16:uniqueId val="{00000000-4451-4FA9-82C1-3BC5A36ADF1E}"/>
            </c:ext>
          </c:extLst>
        </c:ser>
        <c:ser>
          <c:idx val="1"/>
          <c:order val="1"/>
          <c:tx>
            <c:strRef>
              <c:f>BNPL!$A$534</c:f>
              <c:strCache>
                <c:ptCount val="1"/>
                <c:pt idx="0">
                  <c:v>Affirm</c:v>
                </c:pt>
              </c:strCache>
            </c:strRef>
          </c:tx>
          <c:spPr>
            <a:solidFill>
              <a:schemeClr val="accent4">
                <a:lumMod val="60000"/>
                <a:lumOff val="40000"/>
              </a:schemeClr>
            </a:solidFill>
            <a:ln>
              <a:noFill/>
            </a:ln>
            <a:effectLst/>
            <a:extLst>
              <a:ext uri="{91240B29-F687-4F45-9708-019B960494DF}">
                <a14:hiddenLine xmlns:a14="http://schemas.microsoft.com/office/drawing/2010/main">
                  <a:noFill/>
                </a14:hiddenLine>
              </a:ext>
            </a:ex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Helvetica Neue"/>
                    <a:ea typeface="Helvetica Neue"/>
                    <a:cs typeface="Helvetica Neue"/>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BNPL!$B$532:$H$532</c:f>
              <c:numCache>
                <c:formatCode>General</c:formatCode>
                <c:ptCount val="7"/>
                <c:pt idx="0">
                  <c:v>2022</c:v>
                </c:pt>
                <c:pt idx="1">
                  <c:v>2023</c:v>
                </c:pt>
                <c:pt idx="2">
                  <c:v>2024</c:v>
                </c:pt>
                <c:pt idx="3">
                  <c:v>2025</c:v>
                </c:pt>
                <c:pt idx="4">
                  <c:v>2026</c:v>
                </c:pt>
                <c:pt idx="5">
                  <c:v>2027</c:v>
                </c:pt>
                <c:pt idx="6">
                  <c:v>2028</c:v>
                </c:pt>
              </c:numCache>
            </c:numRef>
          </c:cat>
          <c:val>
            <c:numRef>
              <c:f>BNPL!$B$534:$H$534</c:f>
              <c:numCache>
                <c:formatCode>0.0</c:formatCode>
                <c:ptCount val="7"/>
                <c:pt idx="0">
                  <c:v>17.841999999999999</c:v>
                </c:pt>
                <c:pt idx="1">
                  <c:v>23.423500000000001</c:v>
                </c:pt>
                <c:pt idx="2">
                  <c:v>30.346882536378679</c:v>
                </c:pt>
                <c:pt idx="3">
                  <c:v>38.013412932116424</c:v>
                </c:pt>
                <c:pt idx="4">
                  <c:v>46.637143426588452</c:v>
                </c:pt>
                <c:pt idx="5">
                  <c:v>55.060474137687123</c:v>
                </c:pt>
                <c:pt idx="6">
                  <c:v>63.198542692211369</c:v>
                </c:pt>
              </c:numCache>
            </c:numRef>
          </c:val>
          <c:extLst>
            <c:ext xmlns:c16="http://schemas.microsoft.com/office/drawing/2014/chart" uri="{C3380CC4-5D6E-409C-BE32-E72D297353CC}">
              <c16:uniqueId val="{00000001-4451-4FA9-82C1-3BC5A36ADF1E}"/>
            </c:ext>
          </c:extLst>
        </c:ser>
        <c:dLbls>
          <c:showLegendKey val="0"/>
          <c:showVal val="0"/>
          <c:showCatName val="0"/>
          <c:showSerName val="0"/>
          <c:showPercent val="0"/>
          <c:showBubbleSize val="0"/>
        </c:dLbls>
        <c:gapWidth val="30"/>
        <c:overlap val="-27"/>
        <c:axId val="1289845024"/>
        <c:axId val="1289818624"/>
      </c:barChart>
      <c:catAx>
        <c:axId val="1289845024"/>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1289818624"/>
        <c:crosses val="autoZero"/>
        <c:auto val="1"/>
        <c:lblAlgn val="ctr"/>
        <c:lblOffset val="100"/>
        <c:noMultiLvlLbl val="0"/>
      </c:catAx>
      <c:valAx>
        <c:axId val="1289818624"/>
        <c:scaling>
          <c:orientation val="minMax"/>
        </c:scaling>
        <c:delete val="1"/>
        <c:axPos val="l"/>
        <c:numFmt formatCode="0.0" sourceLinked="1"/>
        <c:majorTickMark val="out"/>
        <c:minorTickMark val="none"/>
        <c:tickLblPos val="nextTo"/>
        <c:crossAx val="1289845024"/>
        <c:crosses val="autoZero"/>
        <c:crossBetween val="between"/>
      </c:val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BNPL!$A$537</c:f>
              <c:strCache>
                <c:ptCount val="1"/>
                <c:pt idx="0">
                  <c:v>As % Cash App</c:v>
                </c:pt>
              </c:strCache>
            </c:strRef>
          </c:tx>
          <c:spPr>
            <a:ln w="25400" cap="rnd">
              <a:solidFill>
                <a:schemeClr val="accent6">
                  <a:lumMod val="75000"/>
                </a:schemeClr>
              </a:solidFill>
              <a:prstDash val="solid"/>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595959"/>
                    </a:solidFill>
                    <a:latin typeface="Helvetica Neue"/>
                    <a:ea typeface="Helvetica Neue"/>
                    <a:cs typeface="Helvetica Neue"/>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BNPL!$C$532:$H$532</c:f>
              <c:numCache>
                <c:formatCode>General</c:formatCode>
                <c:ptCount val="6"/>
                <c:pt idx="0">
                  <c:v>2023</c:v>
                </c:pt>
                <c:pt idx="1">
                  <c:v>2024</c:v>
                </c:pt>
                <c:pt idx="2">
                  <c:v>2025</c:v>
                </c:pt>
                <c:pt idx="3">
                  <c:v>2026</c:v>
                </c:pt>
                <c:pt idx="4">
                  <c:v>2027</c:v>
                </c:pt>
                <c:pt idx="5">
                  <c:v>2028</c:v>
                </c:pt>
              </c:numCache>
            </c:numRef>
          </c:cat>
          <c:val>
            <c:numRef>
              <c:f>BNPL!$C$537:$H$537</c:f>
              <c:numCache>
                <c:formatCode>0%</c:formatCode>
                <c:ptCount val="6"/>
                <c:pt idx="0">
                  <c:v>0.15487486774620912</c:v>
                </c:pt>
                <c:pt idx="1">
                  <c:v>0.15111813192491871</c:v>
                </c:pt>
                <c:pt idx="2">
                  <c:v>0.26971217652826229</c:v>
                </c:pt>
                <c:pt idx="3">
                  <c:v>0.3896039654571426</c:v>
                </c:pt>
                <c:pt idx="4">
                  <c:v>0.41309993947763485</c:v>
                </c:pt>
                <c:pt idx="5">
                  <c:v>0.38674911947970664</c:v>
                </c:pt>
              </c:numCache>
            </c:numRef>
          </c:val>
          <c:smooth val="0"/>
          <c:extLst>
            <c:ext xmlns:c16="http://schemas.microsoft.com/office/drawing/2014/chart" uri="{C3380CC4-5D6E-409C-BE32-E72D297353CC}">
              <c16:uniqueId val="{00000000-39DD-45FA-A689-75724C621482}"/>
            </c:ext>
          </c:extLst>
        </c:ser>
        <c:ser>
          <c:idx val="1"/>
          <c:order val="1"/>
          <c:tx>
            <c:strRef>
              <c:f>BNPL!$A$538</c:f>
              <c:strCache>
                <c:ptCount val="1"/>
                <c:pt idx="0">
                  <c:v>As % Group</c:v>
                </c:pt>
              </c:strCache>
            </c:strRef>
          </c:tx>
          <c:spPr>
            <a:ln w="25400" cap="rnd">
              <a:solidFill>
                <a:schemeClr val="accent6">
                  <a:lumMod val="40000"/>
                  <a:lumOff val="60000"/>
                </a:schemeClr>
              </a:solidFill>
              <a:prstDash val="solid"/>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595959"/>
                    </a:solidFill>
                    <a:latin typeface="Helvetica Neue"/>
                    <a:ea typeface="Helvetica Neue"/>
                    <a:cs typeface="Helvetica Neue"/>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BNPL!$C$532:$H$532</c:f>
              <c:numCache>
                <c:formatCode>General</c:formatCode>
                <c:ptCount val="6"/>
                <c:pt idx="0">
                  <c:v>2023</c:v>
                </c:pt>
                <c:pt idx="1">
                  <c:v>2024</c:v>
                </c:pt>
                <c:pt idx="2">
                  <c:v>2025</c:v>
                </c:pt>
                <c:pt idx="3">
                  <c:v>2026</c:v>
                </c:pt>
                <c:pt idx="4">
                  <c:v>2027</c:v>
                </c:pt>
                <c:pt idx="5">
                  <c:v>2028</c:v>
                </c:pt>
              </c:numCache>
            </c:numRef>
          </c:cat>
          <c:val>
            <c:numRef>
              <c:f>BNPL!$C$538:$H$538</c:f>
              <c:numCache>
                <c:formatCode>0%</c:formatCode>
                <c:ptCount val="6"/>
                <c:pt idx="0">
                  <c:v>0.11039039150188236</c:v>
                </c:pt>
                <c:pt idx="1">
                  <c:v>9.8181506539387689E-2</c:v>
                </c:pt>
                <c:pt idx="2">
                  <c:v>0.17583350821398303</c:v>
                </c:pt>
                <c:pt idx="3">
                  <c:v>0.23296817782123327</c:v>
                </c:pt>
                <c:pt idx="4">
                  <c:v>0.26660457840973345</c:v>
                </c:pt>
                <c:pt idx="5">
                  <c:v>0.27542908635870383</c:v>
                </c:pt>
              </c:numCache>
            </c:numRef>
          </c:val>
          <c:smooth val="0"/>
          <c:extLst>
            <c:ext xmlns:c16="http://schemas.microsoft.com/office/drawing/2014/chart" uri="{C3380CC4-5D6E-409C-BE32-E72D297353CC}">
              <c16:uniqueId val="{00000001-39DD-45FA-A689-75724C621482}"/>
            </c:ext>
          </c:extLst>
        </c:ser>
        <c:dLbls>
          <c:showLegendKey val="0"/>
          <c:showVal val="0"/>
          <c:showCatName val="0"/>
          <c:showSerName val="0"/>
          <c:showPercent val="0"/>
          <c:showBubbleSize val="0"/>
        </c:dLbls>
        <c:smooth val="0"/>
        <c:axId val="1315576928"/>
        <c:axId val="1315577408"/>
      </c:lineChart>
      <c:catAx>
        <c:axId val="1315576928"/>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1315577408"/>
        <c:crosses val="autoZero"/>
        <c:auto val="1"/>
        <c:lblAlgn val="ctr"/>
        <c:lblOffset val="100"/>
        <c:noMultiLvlLbl val="0"/>
      </c:catAx>
      <c:valAx>
        <c:axId val="1315577408"/>
        <c:scaling>
          <c:orientation val="minMax"/>
        </c:scaling>
        <c:delete val="1"/>
        <c:axPos val="l"/>
        <c:numFmt formatCode="0%" sourceLinked="1"/>
        <c:majorTickMark val="out"/>
        <c:minorTickMark val="none"/>
        <c:tickLblPos val="nextTo"/>
        <c:crossAx val="1315576928"/>
        <c:crosses val="autoZero"/>
        <c:crossBetween val="between"/>
      </c:val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Analysis!$B$145</c:f>
              <c:strCache>
                <c:ptCount val="1"/>
                <c:pt idx="0">
                  <c:v>Gross profit</c:v>
                </c:pt>
              </c:strCache>
            </c:strRef>
          </c:tx>
          <c:spPr>
            <a:solidFill>
              <a:schemeClr val="accent6">
                <a:lumMod val="75000"/>
              </a:schemeClr>
            </a:solidFill>
            <a:ln>
              <a:noFill/>
            </a:ln>
            <a:effectLst/>
            <a:extLst>
              <a:ext uri="{91240B29-F687-4F45-9708-019B960494DF}">
                <a14:hiddenLine xmlns:a14="http://schemas.microsoft.com/office/drawing/2010/main">
                  <a:noFill/>
                </a14:hiddenLine>
              </a:ext>
            </a:ex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FFFFFF"/>
                    </a:solidFill>
                    <a:latin typeface="Helvetica Neue"/>
                    <a:ea typeface="Helvetica Neue"/>
                    <a:cs typeface="Helvetica Neue"/>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Analysis!$E$143:$L$143</c:f>
              <c:strCache>
                <c:ptCount val="8"/>
                <c:pt idx="0">
                  <c:v>Q3 22</c:v>
                </c:pt>
                <c:pt idx="1">
                  <c:v>Q4 22</c:v>
                </c:pt>
                <c:pt idx="2">
                  <c:v>Q1 23</c:v>
                </c:pt>
                <c:pt idx="3">
                  <c:v>Q2 23</c:v>
                </c:pt>
                <c:pt idx="4">
                  <c:v>Q3 23</c:v>
                </c:pt>
                <c:pt idx="5">
                  <c:v>Q4 23</c:v>
                </c:pt>
                <c:pt idx="6">
                  <c:v>Q1 24</c:v>
                </c:pt>
                <c:pt idx="7">
                  <c:v>Q2 24</c:v>
                </c:pt>
              </c:strCache>
            </c:strRef>
          </c:cat>
          <c:val>
            <c:numRef>
              <c:f>Analysis!$E$145:$L$145</c:f>
              <c:numCache>
                <c:formatCode>0.0%</c:formatCode>
                <c:ptCount val="8"/>
                <c:pt idx="0">
                  <c:v>6.8324972851263779E-2</c:v>
                </c:pt>
                <c:pt idx="1">
                  <c:v>5.9093883526210617E-2</c:v>
                </c:pt>
                <c:pt idx="2">
                  <c:v>6.5723905656563608E-2</c:v>
                </c:pt>
                <c:pt idx="3">
                  <c:v>6.9024297063691606E-2</c:v>
                </c:pt>
                <c:pt idx="4">
                  <c:v>7.2389259364068537E-2</c:v>
                </c:pt>
                <c:pt idx="5">
                  <c:v>6.9127893746504951E-2</c:v>
                </c:pt>
                <c:pt idx="6">
                  <c:v>7.032723390993606E-2</c:v>
                </c:pt>
                <c:pt idx="7">
                  <c:v>5.8829815944566509E-2</c:v>
                </c:pt>
              </c:numCache>
            </c:numRef>
          </c:val>
          <c:extLst>
            <c:ext xmlns:c16="http://schemas.microsoft.com/office/drawing/2014/chart" uri="{C3380CC4-5D6E-409C-BE32-E72D297353CC}">
              <c16:uniqueId val="{00000000-50B0-48DF-B55C-2AD3F65C83B1}"/>
            </c:ext>
          </c:extLst>
        </c:ser>
        <c:dLbls>
          <c:showLegendKey val="0"/>
          <c:showVal val="0"/>
          <c:showCatName val="0"/>
          <c:showSerName val="0"/>
          <c:showPercent val="0"/>
          <c:showBubbleSize val="0"/>
        </c:dLbls>
        <c:gapWidth val="30"/>
        <c:overlap val="100"/>
        <c:axId val="1904121152"/>
        <c:axId val="1904138432"/>
      </c:barChart>
      <c:catAx>
        <c:axId val="1904121152"/>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1904138432"/>
        <c:crosses val="autoZero"/>
        <c:auto val="1"/>
        <c:lblAlgn val="ctr"/>
        <c:lblOffset val="100"/>
        <c:noMultiLvlLbl val="0"/>
      </c:catAx>
      <c:valAx>
        <c:axId val="1904138432"/>
        <c:scaling>
          <c:orientation val="minMax"/>
        </c:scaling>
        <c:delete val="1"/>
        <c:axPos val="l"/>
        <c:numFmt formatCode="0.0%" sourceLinked="1"/>
        <c:majorTickMark val="out"/>
        <c:minorTickMark val="none"/>
        <c:tickLblPos val="nextTo"/>
        <c:crossAx val="1904121152"/>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5400" cap="rnd">
              <a:solidFill>
                <a:srgbClr val="263238"/>
              </a:solidFill>
              <a:prstDash val="solid"/>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595959"/>
                    </a:solidFill>
                    <a:latin typeface="Helvetica Neue"/>
                    <a:ea typeface="Helvetica Neue"/>
                    <a:cs typeface="Helvetica Neue"/>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Analysis!$C$149:$L$149</c:f>
              <c:strCache>
                <c:ptCount val="10"/>
                <c:pt idx="0">
                  <c:v>Q1 22</c:v>
                </c:pt>
                <c:pt idx="1">
                  <c:v>Q2 22</c:v>
                </c:pt>
                <c:pt idx="2">
                  <c:v>Q3 22</c:v>
                </c:pt>
                <c:pt idx="3">
                  <c:v>Q4 22</c:v>
                </c:pt>
                <c:pt idx="4">
                  <c:v>Q1 23</c:v>
                </c:pt>
                <c:pt idx="5">
                  <c:v>Q2 23</c:v>
                </c:pt>
                <c:pt idx="6">
                  <c:v>Q3 23</c:v>
                </c:pt>
                <c:pt idx="7">
                  <c:v>Q4 23</c:v>
                </c:pt>
                <c:pt idx="8">
                  <c:v>Q1 24</c:v>
                </c:pt>
                <c:pt idx="9">
                  <c:v>Q2 24</c:v>
                </c:pt>
              </c:strCache>
            </c:strRef>
          </c:cat>
          <c:val>
            <c:numRef>
              <c:f>Analysis!$C$150:$L$150</c:f>
              <c:numCache>
                <c:formatCode>0%</c:formatCode>
                <c:ptCount val="10"/>
                <c:pt idx="0">
                  <c:v>9.4296600201111885E-2</c:v>
                </c:pt>
                <c:pt idx="1">
                  <c:v>9.8440381125893497E-2</c:v>
                </c:pt>
                <c:pt idx="2">
                  <c:v>9.8855674951242978E-2</c:v>
                </c:pt>
                <c:pt idx="3">
                  <c:v>0.11804813803951911</c:v>
                </c:pt>
                <c:pt idx="4">
                  <c:v>0.1084503030101466</c:v>
                </c:pt>
                <c:pt idx="5">
                  <c:v>0.11193570413154684</c:v>
                </c:pt>
                <c:pt idx="6">
                  <c:v>0.11796296583730424</c:v>
                </c:pt>
                <c:pt idx="7">
                  <c:v>0.12806309402851457</c:v>
                </c:pt>
                <c:pt idx="8">
                  <c:v>0.12556810423859402</c:v>
                </c:pt>
                <c:pt idx="9">
                  <c:v>0.13115336923250351</c:v>
                </c:pt>
              </c:numCache>
            </c:numRef>
          </c:val>
          <c:smooth val="0"/>
          <c:extLst>
            <c:ext xmlns:c16="http://schemas.microsoft.com/office/drawing/2014/chart" uri="{C3380CC4-5D6E-409C-BE32-E72D297353CC}">
              <c16:uniqueId val="{00000000-9FA5-4AD1-90AD-97AB688E69D9}"/>
            </c:ext>
          </c:extLst>
        </c:ser>
        <c:dLbls>
          <c:showLegendKey val="0"/>
          <c:showVal val="0"/>
          <c:showCatName val="0"/>
          <c:showSerName val="0"/>
          <c:showPercent val="0"/>
          <c:showBubbleSize val="0"/>
        </c:dLbls>
        <c:smooth val="0"/>
        <c:axId val="989522607"/>
        <c:axId val="989523087"/>
      </c:lineChart>
      <c:catAx>
        <c:axId val="989522607"/>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989523087"/>
        <c:crosses val="autoZero"/>
        <c:auto val="1"/>
        <c:lblAlgn val="ctr"/>
        <c:lblOffset val="100"/>
        <c:noMultiLvlLbl val="0"/>
      </c:catAx>
      <c:valAx>
        <c:axId val="989523087"/>
        <c:scaling>
          <c:orientation val="minMax"/>
        </c:scaling>
        <c:delete val="1"/>
        <c:axPos val="l"/>
        <c:numFmt formatCode="0%" sourceLinked="1"/>
        <c:majorTickMark val="out"/>
        <c:minorTickMark val="none"/>
        <c:tickLblPos val="nextTo"/>
        <c:crossAx val="989522607"/>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Analysis!$B$169</c:f>
              <c:strCache>
                <c:ptCount val="1"/>
                <c:pt idx="0">
                  <c:v>Square US</c:v>
                </c:pt>
              </c:strCache>
            </c:strRef>
          </c:tx>
          <c:spPr>
            <a:solidFill>
              <a:schemeClr val="accent4">
                <a:lumMod val="40000"/>
                <a:lumOff val="60000"/>
              </a:schemeClr>
            </a:solidFill>
            <a:ln>
              <a:noFill/>
            </a:ln>
            <a:effectLst/>
            <a:extLst>
              <a:ext uri="{91240B29-F687-4F45-9708-019B960494DF}">
                <a14:hiddenLine xmlns:a14="http://schemas.microsoft.com/office/drawing/2010/main">
                  <a:noFill/>
                </a14:hiddenLine>
              </a:ext>
            </a:ex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Helvetica Neue"/>
                    <a:ea typeface="Helvetica Neue"/>
                    <a:cs typeface="Helvetica Neue"/>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Analysis!$I$168:$L$168</c:f>
              <c:strCache>
                <c:ptCount val="4"/>
                <c:pt idx="0">
                  <c:v>Q3 23</c:v>
                </c:pt>
                <c:pt idx="1">
                  <c:v>Q4 23</c:v>
                </c:pt>
                <c:pt idx="2">
                  <c:v>Q1 24</c:v>
                </c:pt>
                <c:pt idx="3">
                  <c:v>Q2 24</c:v>
                </c:pt>
              </c:strCache>
            </c:strRef>
          </c:cat>
          <c:val>
            <c:numRef>
              <c:f>Analysis!$I$169:$L$169</c:f>
              <c:numCache>
                <c:formatCode>0%</c:formatCode>
                <c:ptCount val="4"/>
                <c:pt idx="0">
                  <c:v>0.11320194388680194</c:v>
                </c:pt>
                <c:pt idx="1">
                  <c:v>0.16386632543303303</c:v>
                </c:pt>
                <c:pt idx="2">
                  <c:v>0.16334312420020081</c:v>
                </c:pt>
                <c:pt idx="3">
                  <c:v>0.12261478110955637</c:v>
                </c:pt>
              </c:numCache>
            </c:numRef>
          </c:val>
          <c:extLst>
            <c:ext xmlns:c16="http://schemas.microsoft.com/office/drawing/2014/chart" uri="{C3380CC4-5D6E-409C-BE32-E72D297353CC}">
              <c16:uniqueId val="{00000000-DA21-4214-A695-FDFD25066290}"/>
            </c:ext>
          </c:extLst>
        </c:ser>
        <c:ser>
          <c:idx val="1"/>
          <c:order val="1"/>
          <c:tx>
            <c:strRef>
              <c:f>Analysis!$B$170</c:f>
              <c:strCache>
                <c:ptCount val="1"/>
                <c:pt idx="0">
                  <c:v>Square International</c:v>
                </c:pt>
              </c:strCache>
            </c:strRef>
          </c:tx>
          <c:spPr>
            <a:solidFill>
              <a:schemeClr val="accent3">
                <a:lumMod val="60000"/>
                <a:lumOff val="40000"/>
              </a:schemeClr>
            </a:solidFill>
            <a:ln>
              <a:noFill/>
            </a:ln>
            <a:effectLst/>
            <a:extLst>
              <a:ext uri="{91240B29-F687-4F45-9708-019B960494DF}">
                <a14:hiddenLine xmlns:a14="http://schemas.microsoft.com/office/drawing/2010/main">
                  <a:noFill/>
                </a14:hiddenLine>
              </a:ext>
            </a:ex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FFFFFF"/>
                    </a:solidFill>
                    <a:latin typeface="Helvetica Neue"/>
                    <a:ea typeface="Helvetica Neue"/>
                    <a:cs typeface="Helvetica Neue"/>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Analysis!$I$168:$L$168</c:f>
              <c:strCache>
                <c:ptCount val="4"/>
                <c:pt idx="0">
                  <c:v>Q3 23</c:v>
                </c:pt>
                <c:pt idx="1">
                  <c:v>Q4 23</c:v>
                </c:pt>
                <c:pt idx="2">
                  <c:v>Q1 24</c:v>
                </c:pt>
                <c:pt idx="3">
                  <c:v>Q2 24</c:v>
                </c:pt>
              </c:strCache>
            </c:strRef>
          </c:cat>
          <c:val>
            <c:numRef>
              <c:f>Analysis!$I$170:$L$170</c:f>
              <c:numCache>
                <c:formatCode>0%</c:formatCode>
                <c:ptCount val="4"/>
                <c:pt idx="0">
                  <c:v>0.35714285714285721</c:v>
                </c:pt>
                <c:pt idx="1">
                  <c:v>0.27710843373493965</c:v>
                </c:pt>
                <c:pt idx="2">
                  <c:v>0.37333333333333329</c:v>
                </c:pt>
                <c:pt idx="3">
                  <c:v>0.34444444444444455</c:v>
                </c:pt>
              </c:numCache>
            </c:numRef>
          </c:val>
          <c:extLst>
            <c:ext xmlns:c16="http://schemas.microsoft.com/office/drawing/2014/chart" uri="{C3380CC4-5D6E-409C-BE32-E72D297353CC}">
              <c16:uniqueId val="{00000001-DA21-4214-A695-FDFD25066290}"/>
            </c:ext>
          </c:extLst>
        </c:ser>
        <c:dLbls>
          <c:showLegendKey val="0"/>
          <c:showVal val="0"/>
          <c:showCatName val="0"/>
          <c:showSerName val="0"/>
          <c:showPercent val="0"/>
          <c:showBubbleSize val="0"/>
        </c:dLbls>
        <c:gapWidth val="30"/>
        <c:overlap val="-27"/>
        <c:axId val="1149438895"/>
        <c:axId val="1149436975"/>
      </c:barChart>
      <c:catAx>
        <c:axId val="1149438895"/>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1149436975"/>
        <c:crosses val="autoZero"/>
        <c:auto val="1"/>
        <c:lblAlgn val="ctr"/>
        <c:lblOffset val="100"/>
        <c:noMultiLvlLbl val="0"/>
      </c:catAx>
      <c:valAx>
        <c:axId val="1149436975"/>
        <c:scaling>
          <c:orientation val="minMax"/>
        </c:scaling>
        <c:delete val="1"/>
        <c:axPos val="l"/>
        <c:numFmt formatCode="0%" sourceLinked="1"/>
        <c:majorTickMark val="out"/>
        <c:minorTickMark val="none"/>
        <c:tickLblPos val="nextTo"/>
        <c:crossAx val="1149438895"/>
        <c:crosses val="autoZero"/>
        <c:crossBetween val="between"/>
      </c:val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4382653586997138E-2"/>
          <c:y val="3.2380950173436264E-2"/>
          <c:w val="0.90393619253485435"/>
          <c:h val="0.64664131665532831"/>
        </c:manualLayout>
      </c:layout>
      <c:barChart>
        <c:barDir val="col"/>
        <c:grouping val="stacked"/>
        <c:varyColors val="0"/>
        <c:ser>
          <c:idx val="0"/>
          <c:order val="0"/>
          <c:tx>
            <c:strRef>
              <c:f>Analysis!$B$189</c:f>
              <c:strCache>
                <c:ptCount val="1"/>
                <c:pt idx="0">
                  <c:v>     Product development</c:v>
                </c:pt>
              </c:strCache>
            </c:strRef>
          </c:tx>
          <c:spPr>
            <a:solidFill>
              <a:schemeClr val="bg1">
                <a:lumMod val="75000"/>
              </a:schemeClr>
            </a:solidFill>
            <a:ln>
              <a:noFill/>
            </a:ln>
            <a:effectLst/>
            <a:extLst>
              <a:ext uri="{91240B29-F687-4F45-9708-019B960494DF}">
                <a14:hiddenLine xmlns:a14="http://schemas.microsoft.com/office/drawing/2010/main">
                  <a:noFill/>
                </a14:hiddenLine>
              </a:ext>
            </a:extLst>
          </c:spPr>
          <c:invertIfNegative val="0"/>
          <c:cat>
            <c:strRef>
              <c:f>Analysis!$C$188:$P$188</c:f>
              <c:strCache>
                <c:ptCount val="14"/>
                <c:pt idx="0">
                  <c:v>Q1 21</c:v>
                </c:pt>
                <c:pt idx="1">
                  <c:v>Q2 21</c:v>
                </c:pt>
                <c:pt idx="2">
                  <c:v>Q3 21</c:v>
                </c:pt>
                <c:pt idx="3">
                  <c:v>Q4 21</c:v>
                </c:pt>
                <c:pt idx="4">
                  <c:v>Q1 22</c:v>
                </c:pt>
                <c:pt idx="5">
                  <c:v>Q2 22</c:v>
                </c:pt>
                <c:pt idx="6">
                  <c:v>Q3 22</c:v>
                </c:pt>
                <c:pt idx="7">
                  <c:v>Q4 22</c:v>
                </c:pt>
                <c:pt idx="8">
                  <c:v>Q1 23</c:v>
                </c:pt>
                <c:pt idx="9">
                  <c:v>Q2 23</c:v>
                </c:pt>
                <c:pt idx="10">
                  <c:v>Q3 23</c:v>
                </c:pt>
                <c:pt idx="11">
                  <c:v>Q4 23</c:v>
                </c:pt>
                <c:pt idx="12">
                  <c:v>Q1 24</c:v>
                </c:pt>
                <c:pt idx="13">
                  <c:v>Q2 24</c:v>
                </c:pt>
              </c:strCache>
            </c:strRef>
          </c:cat>
          <c:val>
            <c:numRef>
              <c:f>Analysis!$C$189:$P$189</c:f>
              <c:numCache>
                <c:formatCode>#,##0</c:formatCode>
                <c:ptCount val="14"/>
                <c:pt idx="0">
                  <c:v>307.71100000000001</c:v>
                </c:pt>
                <c:pt idx="1">
                  <c:v>324.05799999999999</c:v>
                </c:pt>
                <c:pt idx="2">
                  <c:v>360.72899999999998</c:v>
                </c:pt>
                <c:pt idx="3">
                  <c:v>391.34300000000002</c:v>
                </c:pt>
                <c:pt idx="4">
                  <c:v>458.22399999999999</c:v>
                </c:pt>
                <c:pt idx="5">
                  <c:v>524.827</c:v>
                </c:pt>
                <c:pt idx="6">
                  <c:v>548.03700000000003</c:v>
                </c:pt>
                <c:pt idx="7">
                  <c:v>604.524</c:v>
                </c:pt>
                <c:pt idx="8">
                  <c:v>626.93700000000001</c:v>
                </c:pt>
                <c:pt idx="9">
                  <c:v>694.67200000000003</c:v>
                </c:pt>
                <c:pt idx="10">
                  <c:v>713.78800000000001</c:v>
                </c:pt>
                <c:pt idx="11">
                  <c:v>685.42200000000003</c:v>
                </c:pt>
                <c:pt idx="12">
                  <c:v>720.57399999999996</c:v>
                </c:pt>
                <c:pt idx="13">
                  <c:v>713.16300000000001</c:v>
                </c:pt>
              </c:numCache>
            </c:numRef>
          </c:val>
          <c:extLst>
            <c:ext xmlns:c16="http://schemas.microsoft.com/office/drawing/2014/chart" uri="{C3380CC4-5D6E-409C-BE32-E72D297353CC}">
              <c16:uniqueId val="{00000000-8DFC-44B6-90D0-1EC864A80390}"/>
            </c:ext>
          </c:extLst>
        </c:ser>
        <c:ser>
          <c:idx val="1"/>
          <c:order val="1"/>
          <c:tx>
            <c:strRef>
              <c:f>Analysis!$B$190</c:f>
              <c:strCache>
                <c:ptCount val="1"/>
                <c:pt idx="0">
                  <c:v>     Sales and marketing</c:v>
                </c:pt>
              </c:strCache>
            </c:strRef>
          </c:tx>
          <c:spPr>
            <a:solidFill>
              <a:schemeClr val="accent4">
                <a:lumMod val="60000"/>
                <a:lumOff val="40000"/>
              </a:schemeClr>
            </a:solidFill>
            <a:ln>
              <a:noFill/>
            </a:ln>
            <a:effectLst/>
            <a:extLst>
              <a:ext uri="{91240B29-F687-4F45-9708-019B960494DF}">
                <a14:hiddenLine xmlns:a14="http://schemas.microsoft.com/office/drawing/2010/main">
                  <a:noFill/>
                </a14:hiddenLine>
              </a:ext>
            </a:extLst>
          </c:spPr>
          <c:invertIfNegative val="0"/>
          <c:cat>
            <c:strRef>
              <c:f>Analysis!$C$188:$P$188</c:f>
              <c:strCache>
                <c:ptCount val="14"/>
                <c:pt idx="0">
                  <c:v>Q1 21</c:v>
                </c:pt>
                <c:pt idx="1">
                  <c:v>Q2 21</c:v>
                </c:pt>
                <c:pt idx="2">
                  <c:v>Q3 21</c:v>
                </c:pt>
                <c:pt idx="3">
                  <c:v>Q4 21</c:v>
                </c:pt>
                <c:pt idx="4">
                  <c:v>Q1 22</c:v>
                </c:pt>
                <c:pt idx="5">
                  <c:v>Q2 22</c:v>
                </c:pt>
                <c:pt idx="6">
                  <c:v>Q3 22</c:v>
                </c:pt>
                <c:pt idx="7">
                  <c:v>Q4 22</c:v>
                </c:pt>
                <c:pt idx="8">
                  <c:v>Q1 23</c:v>
                </c:pt>
                <c:pt idx="9">
                  <c:v>Q2 23</c:v>
                </c:pt>
                <c:pt idx="10">
                  <c:v>Q3 23</c:v>
                </c:pt>
                <c:pt idx="11">
                  <c:v>Q4 23</c:v>
                </c:pt>
                <c:pt idx="12">
                  <c:v>Q1 24</c:v>
                </c:pt>
                <c:pt idx="13">
                  <c:v>Q2 24</c:v>
                </c:pt>
              </c:strCache>
            </c:strRef>
          </c:cat>
          <c:val>
            <c:numRef>
              <c:f>Analysis!$C$190:$P$190</c:f>
              <c:numCache>
                <c:formatCode>#,##0</c:formatCode>
                <c:ptCount val="14"/>
                <c:pt idx="0">
                  <c:v>349.46</c:v>
                </c:pt>
                <c:pt idx="1">
                  <c:v>373.87799999999999</c:v>
                </c:pt>
                <c:pt idx="2">
                  <c:v>409.07299999999998</c:v>
                </c:pt>
                <c:pt idx="3">
                  <c:v>484.77800000000002</c:v>
                </c:pt>
                <c:pt idx="4">
                  <c:v>501.56200000000001</c:v>
                </c:pt>
                <c:pt idx="5">
                  <c:v>530.827</c:v>
                </c:pt>
                <c:pt idx="6">
                  <c:v>485.83800000000002</c:v>
                </c:pt>
                <c:pt idx="7">
                  <c:v>539.72400000000005</c:v>
                </c:pt>
                <c:pt idx="8">
                  <c:v>496.01100000000002</c:v>
                </c:pt>
                <c:pt idx="9">
                  <c:v>537.60699999999997</c:v>
                </c:pt>
                <c:pt idx="10">
                  <c:v>479.38099999999997</c:v>
                </c:pt>
                <c:pt idx="11">
                  <c:v>506.01</c:v>
                </c:pt>
                <c:pt idx="12">
                  <c:v>443.88499999999999</c:v>
                </c:pt>
                <c:pt idx="13">
                  <c:v>507.56200000000001</c:v>
                </c:pt>
              </c:numCache>
            </c:numRef>
          </c:val>
          <c:extLst>
            <c:ext xmlns:c16="http://schemas.microsoft.com/office/drawing/2014/chart" uri="{C3380CC4-5D6E-409C-BE32-E72D297353CC}">
              <c16:uniqueId val="{00000001-8DFC-44B6-90D0-1EC864A80390}"/>
            </c:ext>
          </c:extLst>
        </c:ser>
        <c:ser>
          <c:idx val="2"/>
          <c:order val="2"/>
          <c:tx>
            <c:strRef>
              <c:f>Analysis!$B$191</c:f>
              <c:strCache>
                <c:ptCount val="1"/>
                <c:pt idx="0">
                  <c:v>     General and administrative</c:v>
                </c:pt>
              </c:strCache>
            </c:strRef>
          </c:tx>
          <c:spPr>
            <a:solidFill>
              <a:schemeClr val="accent6">
                <a:lumMod val="40000"/>
                <a:lumOff val="60000"/>
              </a:schemeClr>
            </a:solidFill>
            <a:ln>
              <a:noFill/>
            </a:ln>
            <a:effectLst/>
            <a:extLst>
              <a:ext uri="{91240B29-F687-4F45-9708-019B960494DF}">
                <a14:hiddenLine xmlns:a14="http://schemas.microsoft.com/office/drawing/2010/main">
                  <a:noFill/>
                </a14:hiddenLine>
              </a:ext>
            </a:extLst>
          </c:spPr>
          <c:invertIfNegative val="0"/>
          <c:cat>
            <c:strRef>
              <c:f>Analysis!$C$188:$P$188</c:f>
              <c:strCache>
                <c:ptCount val="14"/>
                <c:pt idx="0">
                  <c:v>Q1 21</c:v>
                </c:pt>
                <c:pt idx="1">
                  <c:v>Q2 21</c:v>
                </c:pt>
                <c:pt idx="2">
                  <c:v>Q3 21</c:v>
                </c:pt>
                <c:pt idx="3">
                  <c:v>Q4 21</c:v>
                </c:pt>
                <c:pt idx="4">
                  <c:v>Q1 22</c:v>
                </c:pt>
                <c:pt idx="5">
                  <c:v>Q2 22</c:v>
                </c:pt>
                <c:pt idx="6">
                  <c:v>Q3 22</c:v>
                </c:pt>
                <c:pt idx="7">
                  <c:v>Q4 22</c:v>
                </c:pt>
                <c:pt idx="8">
                  <c:v>Q1 23</c:v>
                </c:pt>
                <c:pt idx="9">
                  <c:v>Q2 23</c:v>
                </c:pt>
                <c:pt idx="10">
                  <c:v>Q3 23</c:v>
                </c:pt>
                <c:pt idx="11">
                  <c:v>Q4 23</c:v>
                </c:pt>
                <c:pt idx="12">
                  <c:v>Q1 24</c:v>
                </c:pt>
                <c:pt idx="13">
                  <c:v>Q2 24</c:v>
                </c:pt>
              </c:strCache>
            </c:strRef>
          </c:cat>
          <c:val>
            <c:numRef>
              <c:f>Analysis!$C$191:$P$191</c:f>
              <c:numCache>
                <c:formatCode>#,##0</c:formatCode>
                <c:ptCount val="14"/>
                <c:pt idx="0">
                  <c:v>195.78299999999999</c:v>
                </c:pt>
                <c:pt idx="1">
                  <c:v>220.892</c:v>
                </c:pt>
                <c:pt idx="2">
                  <c:v>267.34800000000001</c:v>
                </c:pt>
                <c:pt idx="3">
                  <c:v>298.79399999999998</c:v>
                </c:pt>
                <c:pt idx="4">
                  <c:v>444.149</c:v>
                </c:pt>
                <c:pt idx="5">
                  <c:v>395.72</c:v>
                </c:pt>
                <c:pt idx="6">
                  <c:v>395.43700000000001</c:v>
                </c:pt>
                <c:pt idx="7">
                  <c:v>451.54300000000001</c:v>
                </c:pt>
                <c:pt idx="8">
                  <c:v>432.82499999999999</c:v>
                </c:pt>
                <c:pt idx="9">
                  <c:v>549.29300000000001</c:v>
                </c:pt>
                <c:pt idx="10">
                  <c:v>480.88499999999999</c:v>
                </c:pt>
                <c:pt idx="11">
                  <c:v>746.18700000000001</c:v>
                </c:pt>
                <c:pt idx="12">
                  <c:v>471.26</c:v>
                </c:pt>
                <c:pt idx="13">
                  <c:v>473.56799999999998</c:v>
                </c:pt>
              </c:numCache>
            </c:numRef>
          </c:val>
          <c:extLst>
            <c:ext xmlns:c16="http://schemas.microsoft.com/office/drawing/2014/chart" uri="{C3380CC4-5D6E-409C-BE32-E72D297353CC}">
              <c16:uniqueId val="{00000002-8DFC-44B6-90D0-1EC864A80390}"/>
            </c:ext>
          </c:extLst>
        </c:ser>
        <c:ser>
          <c:idx val="3"/>
          <c:order val="3"/>
          <c:tx>
            <c:strRef>
              <c:f>Analysis!$B$192</c:f>
              <c:strCache>
                <c:ptCount val="1"/>
                <c:pt idx="0">
                  <c:v>     Transaction, loan, and ECLs</c:v>
                </c:pt>
              </c:strCache>
            </c:strRef>
          </c:tx>
          <c:spPr>
            <a:solidFill>
              <a:schemeClr val="accent4">
                <a:lumMod val="20000"/>
                <a:lumOff val="80000"/>
              </a:schemeClr>
            </a:solidFill>
            <a:ln>
              <a:noFill/>
            </a:ln>
            <a:effectLst/>
            <a:extLst>
              <a:ext uri="{91240B29-F687-4F45-9708-019B960494DF}">
                <a14:hiddenLine xmlns:a14="http://schemas.microsoft.com/office/drawing/2010/main">
                  <a:noFill/>
                </a14:hiddenLine>
              </a:ext>
            </a:extLst>
          </c:spPr>
          <c:invertIfNegative val="0"/>
          <c:cat>
            <c:strRef>
              <c:f>Analysis!$C$188:$P$188</c:f>
              <c:strCache>
                <c:ptCount val="14"/>
                <c:pt idx="0">
                  <c:v>Q1 21</c:v>
                </c:pt>
                <c:pt idx="1">
                  <c:v>Q2 21</c:v>
                </c:pt>
                <c:pt idx="2">
                  <c:v>Q3 21</c:v>
                </c:pt>
                <c:pt idx="3">
                  <c:v>Q4 21</c:v>
                </c:pt>
                <c:pt idx="4">
                  <c:v>Q1 22</c:v>
                </c:pt>
                <c:pt idx="5">
                  <c:v>Q2 22</c:v>
                </c:pt>
                <c:pt idx="6">
                  <c:v>Q3 22</c:v>
                </c:pt>
                <c:pt idx="7">
                  <c:v>Q4 22</c:v>
                </c:pt>
                <c:pt idx="8">
                  <c:v>Q1 23</c:v>
                </c:pt>
                <c:pt idx="9">
                  <c:v>Q2 23</c:v>
                </c:pt>
                <c:pt idx="10">
                  <c:v>Q3 23</c:v>
                </c:pt>
                <c:pt idx="11">
                  <c:v>Q4 23</c:v>
                </c:pt>
                <c:pt idx="12">
                  <c:v>Q1 24</c:v>
                </c:pt>
                <c:pt idx="13">
                  <c:v>Q2 24</c:v>
                </c:pt>
              </c:strCache>
            </c:strRef>
          </c:cat>
          <c:val>
            <c:numRef>
              <c:f>Analysis!$C$192:$P$192</c:f>
              <c:numCache>
                <c:formatCode>#,##0</c:formatCode>
                <c:ptCount val="14"/>
                <c:pt idx="0">
                  <c:v>20.395</c:v>
                </c:pt>
                <c:pt idx="1">
                  <c:v>48.173000000000002</c:v>
                </c:pt>
                <c:pt idx="2">
                  <c:v>62.305999999999997</c:v>
                </c:pt>
                <c:pt idx="3">
                  <c:v>57.116999999999997</c:v>
                </c:pt>
                <c:pt idx="4">
                  <c:v>91.15</c:v>
                </c:pt>
                <c:pt idx="5">
                  <c:v>156.697</c:v>
                </c:pt>
                <c:pt idx="6">
                  <c:v>147.58600000000001</c:v>
                </c:pt>
                <c:pt idx="7">
                  <c:v>155.25</c:v>
                </c:pt>
                <c:pt idx="8">
                  <c:v>127.896</c:v>
                </c:pt>
                <c:pt idx="9">
                  <c:v>179.77099999999999</c:v>
                </c:pt>
                <c:pt idx="10">
                  <c:v>177.33799999999999</c:v>
                </c:pt>
                <c:pt idx="11">
                  <c:v>175.65799999999999</c:v>
                </c:pt>
                <c:pt idx="12">
                  <c:v>165.72900000000001</c:v>
                </c:pt>
                <c:pt idx="13">
                  <c:v>191.81200000000001</c:v>
                </c:pt>
              </c:numCache>
            </c:numRef>
          </c:val>
          <c:extLst>
            <c:ext xmlns:c16="http://schemas.microsoft.com/office/drawing/2014/chart" uri="{C3380CC4-5D6E-409C-BE32-E72D297353CC}">
              <c16:uniqueId val="{00000003-8DFC-44B6-90D0-1EC864A80390}"/>
            </c:ext>
          </c:extLst>
        </c:ser>
        <c:ser>
          <c:idx val="4"/>
          <c:order val="4"/>
          <c:tx>
            <c:strRef>
              <c:f>Analysis!$B$193</c:f>
              <c:strCache>
                <c:ptCount val="1"/>
                <c:pt idx="0">
                  <c:v>     Bitcoin impairment losses</c:v>
                </c:pt>
              </c:strCache>
            </c:strRef>
          </c:tx>
          <c:spPr>
            <a:solidFill>
              <a:srgbClr val="00C994"/>
            </a:solidFill>
            <a:ln>
              <a:noFill/>
            </a:ln>
            <a:effectLst/>
            <a:extLst>
              <a:ext uri="{91240B29-F687-4F45-9708-019B960494DF}">
                <a14:hiddenLine xmlns:a14="http://schemas.microsoft.com/office/drawing/2010/main">
                  <a:noFill/>
                </a14:hiddenLine>
              </a:ext>
            </a:extLst>
          </c:spPr>
          <c:invertIfNegative val="0"/>
          <c:cat>
            <c:strRef>
              <c:f>Analysis!$C$188:$P$188</c:f>
              <c:strCache>
                <c:ptCount val="14"/>
                <c:pt idx="0">
                  <c:v>Q1 21</c:v>
                </c:pt>
                <c:pt idx="1">
                  <c:v>Q2 21</c:v>
                </c:pt>
                <c:pt idx="2">
                  <c:v>Q3 21</c:v>
                </c:pt>
                <c:pt idx="3">
                  <c:v>Q4 21</c:v>
                </c:pt>
                <c:pt idx="4">
                  <c:v>Q1 22</c:v>
                </c:pt>
                <c:pt idx="5">
                  <c:v>Q2 22</c:v>
                </c:pt>
                <c:pt idx="6">
                  <c:v>Q3 22</c:v>
                </c:pt>
                <c:pt idx="7">
                  <c:v>Q4 22</c:v>
                </c:pt>
                <c:pt idx="8">
                  <c:v>Q1 23</c:v>
                </c:pt>
                <c:pt idx="9">
                  <c:v>Q2 23</c:v>
                </c:pt>
                <c:pt idx="10">
                  <c:v>Q3 23</c:v>
                </c:pt>
                <c:pt idx="11">
                  <c:v>Q4 23</c:v>
                </c:pt>
                <c:pt idx="12">
                  <c:v>Q1 24</c:v>
                </c:pt>
                <c:pt idx="13">
                  <c:v>Q2 24</c:v>
                </c:pt>
              </c:strCache>
            </c:strRef>
          </c:cat>
          <c:val>
            <c:numRef>
              <c:f>Analysis!$C$193:$P$193</c:f>
              <c:numCache>
                <c:formatCode>#,##0</c:formatCode>
                <c:ptCount val="14"/>
                <c:pt idx="0">
                  <c:v>19.86</c:v>
                </c:pt>
                <c:pt idx="1">
                  <c:v>45.265999999999998</c:v>
                </c:pt>
                <c:pt idx="2">
                  <c:v>6</c:v>
                </c:pt>
                <c:pt idx="3">
                  <c:v>0</c:v>
                </c:pt>
                <c:pt idx="4">
                  <c:v>0</c:v>
                </c:pt>
                <c:pt idx="5">
                  <c:v>35.960999999999999</c:v>
                </c:pt>
                <c:pt idx="6">
                  <c:v>1.619</c:v>
                </c:pt>
                <c:pt idx="7">
                  <c:v>8.9909999999999997</c:v>
                </c:pt>
                <c:pt idx="8">
                  <c:v>0</c:v>
                </c:pt>
                <c:pt idx="9">
                  <c:v>0</c:v>
                </c:pt>
                <c:pt idx="10">
                  <c:v>0</c:v>
                </c:pt>
                <c:pt idx="11">
                  <c:v>0</c:v>
                </c:pt>
                <c:pt idx="12">
                  <c:v>0</c:v>
                </c:pt>
                <c:pt idx="13">
                  <c:v>0</c:v>
                </c:pt>
              </c:numCache>
            </c:numRef>
          </c:val>
          <c:extLst>
            <c:ext xmlns:c16="http://schemas.microsoft.com/office/drawing/2014/chart" uri="{C3380CC4-5D6E-409C-BE32-E72D297353CC}">
              <c16:uniqueId val="{00000004-8DFC-44B6-90D0-1EC864A80390}"/>
            </c:ext>
          </c:extLst>
        </c:ser>
        <c:ser>
          <c:idx val="5"/>
          <c:order val="5"/>
          <c:tx>
            <c:strRef>
              <c:f>Analysis!$B$194</c:f>
              <c:strCache>
                <c:ptCount val="1"/>
                <c:pt idx="0">
                  <c:v>     Amort - customer / acquired intangibles</c:v>
                </c:pt>
              </c:strCache>
            </c:strRef>
          </c:tx>
          <c:spPr>
            <a:solidFill>
              <a:schemeClr val="accent6">
                <a:lumMod val="20000"/>
                <a:lumOff val="80000"/>
              </a:schemeClr>
            </a:solidFill>
            <a:ln>
              <a:noFill/>
            </a:ln>
            <a:effectLst/>
            <a:extLst>
              <a:ext uri="{91240B29-F687-4F45-9708-019B960494DF}">
                <a14:hiddenLine xmlns:a14="http://schemas.microsoft.com/office/drawing/2010/main">
                  <a:noFill/>
                </a14:hiddenLine>
              </a:ext>
            </a:extLst>
          </c:spPr>
          <c:invertIfNegative val="0"/>
          <c:cat>
            <c:strRef>
              <c:f>Analysis!$C$188:$P$188</c:f>
              <c:strCache>
                <c:ptCount val="14"/>
                <c:pt idx="0">
                  <c:v>Q1 21</c:v>
                </c:pt>
                <c:pt idx="1">
                  <c:v>Q2 21</c:v>
                </c:pt>
                <c:pt idx="2">
                  <c:v>Q3 21</c:v>
                </c:pt>
                <c:pt idx="3">
                  <c:v>Q4 21</c:v>
                </c:pt>
                <c:pt idx="4">
                  <c:v>Q1 22</c:v>
                </c:pt>
                <c:pt idx="5">
                  <c:v>Q2 22</c:v>
                </c:pt>
                <c:pt idx="6">
                  <c:v>Q3 22</c:v>
                </c:pt>
                <c:pt idx="7">
                  <c:v>Q4 22</c:v>
                </c:pt>
                <c:pt idx="8">
                  <c:v>Q1 23</c:v>
                </c:pt>
                <c:pt idx="9">
                  <c:v>Q2 23</c:v>
                </c:pt>
                <c:pt idx="10">
                  <c:v>Q3 23</c:v>
                </c:pt>
                <c:pt idx="11">
                  <c:v>Q4 23</c:v>
                </c:pt>
                <c:pt idx="12">
                  <c:v>Q1 24</c:v>
                </c:pt>
                <c:pt idx="13">
                  <c:v>Q2 24</c:v>
                </c:pt>
              </c:strCache>
            </c:strRef>
          </c:cat>
          <c:val>
            <c:numRef>
              <c:f>Analysis!$C$194:$P$194</c:f>
              <c:numCache>
                <c:formatCode>#,##0</c:formatCode>
                <c:ptCount val="14"/>
                <c:pt idx="0">
                  <c:v>2.5569999999999999</c:v>
                </c:pt>
                <c:pt idx="1">
                  <c:v>3.802</c:v>
                </c:pt>
                <c:pt idx="2">
                  <c:v>4.7629999999999999</c:v>
                </c:pt>
                <c:pt idx="3">
                  <c:v>4.625</c:v>
                </c:pt>
                <c:pt idx="4">
                  <c:v>26.664000000000001</c:v>
                </c:pt>
                <c:pt idx="5">
                  <c:v>39.389000000000003</c:v>
                </c:pt>
                <c:pt idx="6">
                  <c:v>37.360999999999997</c:v>
                </c:pt>
                <c:pt idx="7">
                  <c:v>35.344000000000001</c:v>
                </c:pt>
                <c:pt idx="8">
                  <c:v>37.087000000000003</c:v>
                </c:pt>
                <c:pt idx="9">
                  <c:v>36.865000000000002</c:v>
                </c:pt>
                <c:pt idx="10">
                  <c:v>56.965000000000003</c:v>
                </c:pt>
                <c:pt idx="11">
                  <c:v>43.127000000000002</c:v>
                </c:pt>
                <c:pt idx="12">
                  <c:v>43.281999999999996</c:v>
                </c:pt>
                <c:pt idx="13">
                  <c:v>40.813000000000002</c:v>
                </c:pt>
              </c:numCache>
            </c:numRef>
          </c:val>
          <c:extLst>
            <c:ext xmlns:c16="http://schemas.microsoft.com/office/drawing/2014/chart" uri="{C3380CC4-5D6E-409C-BE32-E72D297353CC}">
              <c16:uniqueId val="{00000005-8DFC-44B6-90D0-1EC864A80390}"/>
            </c:ext>
          </c:extLst>
        </c:ser>
        <c:dLbls>
          <c:showLegendKey val="0"/>
          <c:showVal val="0"/>
          <c:showCatName val="0"/>
          <c:showSerName val="0"/>
          <c:showPercent val="0"/>
          <c:showBubbleSize val="0"/>
        </c:dLbls>
        <c:gapWidth val="30"/>
        <c:overlap val="100"/>
        <c:axId val="1472727679"/>
        <c:axId val="1472729599"/>
      </c:barChart>
      <c:catAx>
        <c:axId val="1472727679"/>
        <c:scaling>
          <c:orientation val="minMax"/>
        </c:scaling>
        <c:delete val="0"/>
        <c:axPos val="b"/>
        <c:numFmt formatCode="General" sourceLinked="1"/>
        <c:majorTickMark val="out"/>
        <c:minorTickMark val="none"/>
        <c:tickLblPos val="nextTo"/>
        <c:spPr>
          <a:noFill/>
          <a:ln w="9525" cap="flat" cmpd="sng" algn="ctr">
            <a:solidFill>
              <a:srgbClr val="B3B3B3"/>
            </a:solidFill>
            <a:round/>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1472729599"/>
        <c:crosses val="autoZero"/>
        <c:auto val="1"/>
        <c:lblAlgn val="ctr"/>
        <c:lblOffset val="100"/>
        <c:noMultiLvlLbl val="0"/>
      </c:catAx>
      <c:valAx>
        <c:axId val="1472729599"/>
        <c:scaling>
          <c:orientation val="minMax"/>
        </c:scaling>
        <c:delete val="0"/>
        <c:axPos val="l"/>
        <c:numFmt formatCode="#,##0" sourceLinked="1"/>
        <c:majorTickMark val="out"/>
        <c:minorTickMark val="none"/>
        <c:tickLblPos val="nextTo"/>
        <c:spPr>
          <a:noFill/>
          <a:ln>
            <a:solidFill>
              <a:srgbClr val="B3B3B3"/>
            </a:solidFill>
          </a:ln>
          <a:effectLst/>
        </c:spPr>
        <c:txPr>
          <a:bodyPr rot="-60000000" spcFirstLastPara="1" vertOverflow="ellipsis" vert="horz" wrap="square" anchor="ctr" anchorCtr="1"/>
          <a:lstStyle/>
          <a:p>
            <a:pPr>
              <a:defRPr sz="1000" b="0" i="0" u="none" strike="noStrike" kern="1200" baseline="0">
                <a:solidFill>
                  <a:srgbClr val="595959"/>
                </a:solidFill>
                <a:latin typeface="Helvetica Neue"/>
                <a:ea typeface="Helvetica Neue"/>
                <a:cs typeface="Helvetica Neue"/>
              </a:defRPr>
            </a:pPr>
            <a:endParaRPr lang="en-US"/>
          </a:p>
        </c:txPr>
        <c:crossAx val="1472727679"/>
        <c:crosses val="autoZero"/>
        <c:crossBetween val="between"/>
      </c:valAx>
      <c:spPr>
        <a:noFill/>
        <a:ln w="25400">
          <a:noFill/>
        </a:ln>
        <a:effectLst/>
      </c:spPr>
    </c:plotArea>
    <c:legend>
      <c:legendPos val="b"/>
      <c:layout>
        <c:manualLayout>
          <c:xMode val="edge"/>
          <c:yMode val="edge"/>
          <c:x val="0"/>
          <c:y val="0.76755539462245381"/>
          <c:w val="1"/>
          <c:h val="0.212584824430957"/>
        </c:manualLayout>
      </c:layout>
      <c:overlay val="0"/>
      <c:spPr>
        <a:noFill/>
        <a:ln w="25400">
          <a:noFill/>
        </a:ln>
        <a:effectLst/>
      </c:spPr>
      <c:txPr>
        <a:bodyPr rot="0" spcFirstLastPara="1" vertOverflow="ellipsis" vert="horz" wrap="square" anchor="ctr" anchorCtr="1"/>
        <a:lstStyle/>
        <a:p>
          <a:pPr>
            <a:defRPr sz="1200" b="0" i="0" u="none" strike="noStrike" kern="1200" baseline="0">
              <a:solidFill>
                <a:srgbClr val="595959"/>
              </a:solidFill>
              <a:latin typeface="Helvetica Neue"/>
              <a:ea typeface="Helvetica Neue"/>
              <a:cs typeface="Helvetica Neue"/>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solidFill>
            <a:srgbClr val="595959"/>
          </a:solidFill>
          <a:latin typeface="Helvetica Neue"/>
          <a:ea typeface="Helvetica Neue"/>
          <a:cs typeface="Helvetica Neue"/>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newstreetresearch.com/" TargetMode="External"/></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3" Type="http://schemas.openxmlformats.org/officeDocument/2006/relationships/chart" Target="../charts/chart17.xml"/><Relationship Id="rId18" Type="http://schemas.openxmlformats.org/officeDocument/2006/relationships/chart" Target="../charts/chart22.xml"/><Relationship Id="rId26" Type="http://schemas.openxmlformats.org/officeDocument/2006/relationships/chart" Target="../charts/chart30.xml"/><Relationship Id="rId3" Type="http://schemas.openxmlformats.org/officeDocument/2006/relationships/chart" Target="../charts/chart7.xml"/><Relationship Id="rId21" Type="http://schemas.openxmlformats.org/officeDocument/2006/relationships/chart" Target="../charts/chart25.xml"/><Relationship Id="rId34" Type="http://schemas.openxmlformats.org/officeDocument/2006/relationships/chart" Target="../charts/chart38.xml"/><Relationship Id="rId7" Type="http://schemas.openxmlformats.org/officeDocument/2006/relationships/chart" Target="../charts/chart11.xml"/><Relationship Id="rId12" Type="http://schemas.openxmlformats.org/officeDocument/2006/relationships/chart" Target="../charts/chart16.xml"/><Relationship Id="rId17" Type="http://schemas.openxmlformats.org/officeDocument/2006/relationships/chart" Target="../charts/chart21.xml"/><Relationship Id="rId25" Type="http://schemas.openxmlformats.org/officeDocument/2006/relationships/chart" Target="../charts/chart29.xml"/><Relationship Id="rId33" Type="http://schemas.openxmlformats.org/officeDocument/2006/relationships/chart" Target="../charts/chart37.xml"/><Relationship Id="rId2" Type="http://schemas.openxmlformats.org/officeDocument/2006/relationships/chart" Target="../charts/chart6.xml"/><Relationship Id="rId16" Type="http://schemas.openxmlformats.org/officeDocument/2006/relationships/chart" Target="../charts/chart20.xml"/><Relationship Id="rId20" Type="http://schemas.openxmlformats.org/officeDocument/2006/relationships/chart" Target="../charts/chart24.xml"/><Relationship Id="rId29" Type="http://schemas.openxmlformats.org/officeDocument/2006/relationships/chart" Target="../charts/chart33.xml"/><Relationship Id="rId1" Type="http://schemas.openxmlformats.org/officeDocument/2006/relationships/chart" Target="../charts/chart5.xml"/><Relationship Id="rId6" Type="http://schemas.openxmlformats.org/officeDocument/2006/relationships/chart" Target="../charts/chart10.xml"/><Relationship Id="rId11" Type="http://schemas.openxmlformats.org/officeDocument/2006/relationships/chart" Target="../charts/chart15.xml"/><Relationship Id="rId24" Type="http://schemas.openxmlformats.org/officeDocument/2006/relationships/chart" Target="../charts/chart28.xml"/><Relationship Id="rId32" Type="http://schemas.openxmlformats.org/officeDocument/2006/relationships/chart" Target="../charts/chart36.xml"/><Relationship Id="rId5" Type="http://schemas.openxmlformats.org/officeDocument/2006/relationships/chart" Target="../charts/chart9.xml"/><Relationship Id="rId15" Type="http://schemas.openxmlformats.org/officeDocument/2006/relationships/chart" Target="../charts/chart19.xml"/><Relationship Id="rId23" Type="http://schemas.openxmlformats.org/officeDocument/2006/relationships/chart" Target="../charts/chart27.xml"/><Relationship Id="rId28" Type="http://schemas.openxmlformats.org/officeDocument/2006/relationships/chart" Target="../charts/chart32.xml"/><Relationship Id="rId10" Type="http://schemas.openxmlformats.org/officeDocument/2006/relationships/chart" Target="../charts/chart14.xml"/><Relationship Id="rId19" Type="http://schemas.openxmlformats.org/officeDocument/2006/relationships/chart" Target="../charts/chart23.xml"/><Relationship Id="rId31" Type="http://schemas.openxmlformats.org/officeDocument/2006/relationships/chart" Target="../charts/chart35.xml"/><Relationship Id="rId4" Type="http://schemas.openxmlformats.org/officeDocument/2006/relationships/chart" Target="../charts/chart8.xml"/><Relationship Id="rId9" Type="http://schemas.openxmlformats.org/officeDocument/2006/relationships/chart" Target="../charts/chart13.xml"/><Relationship Id="rId14" Type="http://schemas.openxmlformats.org/officeDocument/2006/relationships/chart" Target="../charts/chart18.xml"/><Relationship Id="rId22" Type="http://schemas.openxmlformats.org/officeDocument/2006/relationships/chart" Target="../charts/chart26.xml"/><Relationship Id="rId27" Type="http://schemas.openxmlformats.org/officeDocument/2006/relationships/chart" Target="../charts/chart31.xml"/><Relationship Id="rId30" Type="http://schemas.openxmlformats.org/officeDocument/2006/relationships/chart" Target="../charts/chart34.xml"/><Relationship Id="rId8" Type="http://schemas.openxmlformats.org/officeDocument/2006/relationships/chart" Target="../charts/chart12.xml"/></Relationships>
</file>

<file path=xl/drawings/_rels/drawing5.xml.rels><?xml version="1.0" encoding="UTF-8" standalone="yes"?>
<Relationships xmlns="http://schemas.openxmlformats.org/package/2006/relationships"><Relationship Id="rId8" Type="http://schemas.openxmlformats.org/officeDocument/2006/relationships/chart" Target="../charts/chart46.xml"/><Relationship Id="rId13" Type="http://schemas.openxmlformats.org/officeDocument/2006/relationships/chart" Target="../charts/chart51.xml"/><Relationship Id="rId3" Type="http://schemas.openxmlformats.org/officeDocument/2006/relationships/chart" Target="../charts/chart41.xml"/><Relationship Id="rId7" Type="http://schemas.openxmlformats.org/officeDocument/2006/relationships/chart" Target="../charts/chart45.xml"/><Relationship Id="rId12" Type="http://schemas.openxmlformats.org/officeDocument/2006/relationships/chart" Target="../charts/chart50.xml"/><Relationship Id="rId2" Type="http://schemas.openxmlformats.org/officeDocument/2006/relationships/chart" Target="../charts/chart40.xml"/><Relationship Id="rId1" Type="http://schemas.openxmlformats.org/officeDocument/2006/relationships/chart" Target="../charts/chart39.xml"/><Relationship Id="rId6" Type="http://schemas.openxmlformats.org/officeDocument/2006/relationships/chart" Target="../charts/chart44.xml"/><Relationship Id="rId11" Type="http://schemas.openxmlformats.org/officeDocument/2006/relationships/chart" Target="../charts/chart49.xml"/><Relationship Id="rId5" Type="http://schemas.openxmlformats.org/officeDocument/2006/relationships/chart" Target="../charts/chart43.xml"/><Relationship Id="rId10" Type="http://schemas.openxmlformats.org/officeDocument/2006/relationships/chart" Target="../charts/chart48.xml"/><Relationship Id="rId4" Type="http://schemas.openxmlformats.org/officeDocument/2006/relationships/chart" Target="../charts/chart42.xml"/><Relationship Id="rId9" Type="http://schemas.openxmlformats.org/officeDocument/2006/relationships/chart" Target="../charts/chart47.xml"/></Relationships>
</file>

<file path=xl/drawings/drawing1.xml><?xml version="1.0" encoding="utf-8"?>
<xdr:wsDr xmlns:xdr="http://schemas.openxmlformats.org/drawingml/2006/spreadsheetDrawing" xmlns:a="http://schemas.openxmlformats.org/drawingml/2006/main">
  <xdr:twoCellAnchor editAs="oneCell">
    <xdr:from>
      <xdr:col>0</xdr:col>
      <xdr:colOff>83820</xdr:colOff>
      <xdr:row>0</xdr:row>
      <xdr:rowOff>30480</xdr:rowOff>
    </xdr:from>
    <xdr:to>
      <xdr:col>4</xdr:col>
      <xdr:colOff>103505</xdr:colOff>
      <xdr:row>5</xdr:row>
      <xdr:rowOff>41275</xdr:rowOff>
    </xdr:to>
    <xdr:pic>
      <xdr:nvPicPr>
        <xdr:cNvPr id="2" name="Picture 1" descr="signature_534858453">
          <a:hlinkClick xmlns:r="http://schemas.openxmlformats.org/officeDocument/2006/relationships" r:id="rId1"/>
          <a:extLst>
            <a:ext uri="{FF2B5EF4-FFF2-40B4-BE49-F238E27FC236}">
              <a16:creationId xmlns:a16="http://schemas.microsoft.com/office/drawing/2014/main" id="{3939AAF6-DE0E-40C1-8C87-2D52721490E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820" y="30480"/>
          <a:ext cx="3021965" cy="75374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18</xdr:col>
      <xdr:colOff>34924</xdr:colOff>
      <xdr:row>389</xdr:row>
      <xdr:rowOff>57150</xdr:rowOff>
    </xdr:from>
    <xdr:to>
      <xdr:col>33</xdr:col>
      <xdr:colOff>247650</xdr:colOff>
      <xdr:row>407</xdr:row>
      <xdr:rowOff>0</xdr:rowOff>
    </xdr:to>
    <xdr:graphicFrame macro="">
      <xdr:nvGraphicFramePr>
        <xdr:cNvPr id="3" name="Chart 2">
          <a:extLst>
            <a:ext uri="{FF2B5EF4-FFF2-40B4-BE49-F238E27FC236}">
              <a16:creationId xmlns:a16="http://schemas.microsoft.com/office/drawing/2014/main" id="{0F5CBB76-F6B9-6E8A-F417-F7E3108060C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15874</xdr:colOff>
      <xdr:row>409</xdr:row>
      <xdr:rowOff>38100</xdr:rowOff>
    </xdr:from>
    <xdr:to>
      <xdr:col>26</xdr:col>
      <xdr:colOff>463549</xdr:colOff>
      <xdr:row>426</xdr:row>
      <xdr:rowOff>25400</xdr:rowOff>
    </xdr:to>
    <xdr:graphicFrame macro="">
      <xdr:nvGraphicFramePr>
        <xdr:cNvPr id="2" name="Chart 1">
          <a:extLst>
            <a:ext uri="{FF2B5EF4-FFF2-40B4-BE49-F238E27FC236}">
              <a16:creationId xmlns:a16="http://schemas.microsoft.com/office/drawing/2014/main" id="{FB0060D9-18B8-C5B6-B331-8DF3CE4E60E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14</xdr:col>
      <xdr:colOff>549274</xdr:colOff>
      <xdr:row>60</xdr:row>
      <xdr:rowOff>139700</xdr:rowOff>
    </xdr:from>
    <xdr:to>
      <xdr:col>21</xdr:col>
      <xdr:colOff>412750</xdr:colOff>
      <xdr:row>80</xdr:row>
      <xdr:rowOff>69850</xdr:rowOff>
    </xdr:to>
    <xdr:graphicFrame macro="">
      <xdr:nvGraphicFramePr>
        <xdr:cNvPr id="2" name="Chart 1">
          <a:extLst>
            <a:ext uri="{FF2B5EF4-FFF2-40B4-BE49-F238E27FC236}">
              <a16:creationId xmlns:a16="http://schemas.microsoft.com/office/drawing/2014/main" id="{63BF06D9-FCBF-14CA-8900-10427C4EFDF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1117600</xdr:colOff>
      <xdr:row>163</xdr:row>
      <xdr:rowOff>69850</xdr:rowOff>
    </xdr:from>
    <xdr:to>
      <xdr:col>9</xdr:col>
      <xdr:colOff>596900</xdr:colOff>
      <xdr:row>178</xdr:row>
      <xdr:rowOff>50800</xdr:rowOff>
    </xdr:to>
    <xdr:graphicFrame macro="">
      <xdr:nvGraphicFramePr>
        <xdr:cNvPr id="3" name="Chart 2">
          <a:extLst>
            <a:ext uri="{FF2B5EF4-FFF2-40B4-BE49-F238E27FC236}">
              <a16:creationId xmlns:a16="http://schemas.microsoft.com/office/drawing/2014/main" id="{BC66258E-3ADC-CA99-B4AF-795E0836B51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13</xdr:col>
      <xdr:colOff>437031</xdr:colOff>
      <xdr:row>134</xdr:row>
      <xdr:rowOff>132789</xdr:rowOff>
    </xdr:from>
    <xdr:to>
      <xdr:col>20</xdr:col>
      <xdr:colOff>537884</xdr:colOff>
      <xdr:row>150</xdr:row>
      <xdr:rowOff>102533</xdr:rowOff>
    </xdr:to>
    <xdr:graphicFrame macro="">
      <xdr:nvGraphicFramePr>
        <xdr:cNvPr id="3" name="Chart 2">
          <a:extLst>
            <a:ext uri="{FF2B5EF4-FFF2-40B4-BE49-F238E27FC236}">
              <a16:creationId xmlns:a16="http://schemas.microsoft.com/office/drawing/2014/main" id="{9ABBE2F5-C711-3916-72CD-5A677D3D6B5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257735</xdr:colOff>
      <xdr:row>152</xdr:row>
      <xdr:rowOff>140074</xdr:rowOff>
    </xdr:from>
    <xdr:to>
      <xdr:col>20</xdr:col>
      <xdr:colOff>358588</xdr:colOff>
      <xdr:row>168</xdr:row>
      <xdr:rowOff>109818</xdr:rowOff>
    </xdr:to>
    <xdr:graphicFrame macro="">
      <xdr:nvGraphicFramePr>
        <xdr:cNvPr id="5" name="Chart 4">
          <a:extLst>
            <a:ext uri="{FF2B5EF4-FFF2-40B4-BE49-F238E27FC236}">
              <a16:creationId xmlns:a16="http://schemas.microsoft.com/office/drawing/2014/main" id="{77534995-CB50-4BB4-B79F-9A29F3E708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173691</xdr:colOff>
      <xdr:row>151</xdr:row>
      <xdr:rowOff>90769</xdr:rowOff>
    </xdr:from>
    <xdr:to>
      <xdr:col>9</xdr:col>
      <xdr:colOff>274544</xdr:colOff>
      <xdr:row>166</xdr:row>
      <xdr:rowOff>60513</xdr:rowOff>
    </xdr:to>
    <xdr:graphicFrame macro="">
      <xdr:nvGraphicFramePr>
        <xdr:cNvPr id="6" name="Chart 5">
          <a:extLst>
            <a:ext uri="{FF2B5EF4-FFF2-40B4-BE49-F238E27FC236}">
              <a16:creationId xmlns:a16="http://schemas.microsoft.com/office/drawing/2014/main" id="{0B409FF0-74D4-E13F-0AF1-88AA5598186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285751</xdr:colOff>
      <xdr:row>170</xdr:row>
      <xdr:rowOff>41754</xdr:rowOff>
    </xdr:from>
    <xdr:to>
      <xdr:col>20</xdr:col>
      <xdr:colOff>381001</xdr:colOff>
      <xdr:row>184</xdr:row>
      <xdr:rowOff>81158</xdr:rowOff>
    </xdr:to>
    <xdr:graphicFrame macro="">
      <xdr:nvGraphicFramePr>
        <xdr:cNvPr id="7" name="Chart 6">
          <a:extLst>
            <a:ext uri="{FF2B5EF4-FFF2-40B4-BE49-F238E27FC236}">
              <a16:creationId xmlns:a16="http://schemas.microsoft.com/office/drawing/2014/main" id="{43CCDE72-E9CF-94B6-8F4C-BB19FA25FDD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347380</xdr:colOff>
      <xdr:row>196</xdr:row>
      <xdr:rowOff>151279</xdr:rowOff>
    </xdr:from>
    <xdr:to>
      <xdr:col>13</xdr:col>
      <xdr:colOff>403412</xdr:colOff>
      <xdr:row>220</xdr:row>
      <xdr:rowOff>28015</xdr:rowOff>
    </xdr:to>
    <xdr:graphicFrame macro="">
      <xdr:nvGraphicFramePr>
        <xdr:cNvPr id="8" name="Chart 7">
          <a:extLst>
            <a:ext uri="{FF2B5EF4-FFF2-40B4-BE49-F238E27FC236}">
              <a16:creationId xmlns:a16="http://schemas.microsoft.com/office/drawing/2014/main" id="{65999659-0484-BB9F-91BF-F338E275777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16808</xdr:colOff>
      <xdr:row>228</xdr:row>
      <xdr:rowOff>23532</xdr:rowOff>
    </xdr:from>
    <xdr:to>
      <xdr:col>11</xdr:col>
      <xdr:colOff>117661</xdr:colOff>
      <xdr:row>244</xdr:row>
      <xdr:rowOff>57410</xdr:rowOff>
    </xdr:to>
    <xdr:graphicFrame macro="">
      <xdr:nvGraphicFramePr>
        <xdr:cNvPr id="9" name="Chart 8">
          <a:extLst>
            <a:ext uri="{FF2B5EF4-FFF2-40B4-BE49-F238E27FC236}">
              <a16:creationId xmlns:a16="http://schemas.microsoft.com/office/drawing/2014/main" id="{8ACA18E4-55F1-70F4-C60D-E276FFC1942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12</xdr:col>
      <xdr:colOff>8404</xdr:colOff>
      <xdr:row>229</xdr:row>
      <xdr:rowOff>73958</xdr:rowOff>
    </xdr:from>
    <xdr:to>
      <xdr:col>20</xdr:col>
      <xdr:colOff>196102</xdr:colOff>
      <xdr:row>247</xdr:row>
      <xdr:rowOff>44824</xdr:rowOff>
    </xdr:to>
    <xdr:graphicFrame macro="">
      <xdr:nvGraphicFramePr>
        <xdr:cNvPr id="10" name="Chart 9">
          <a:extLst>
            <a:ext uri="{FF2B5EF4-FFF2-40B4-BE49-F238E27FC236}">
              <a16:creationId xmlns:a16="http://schemas.microsoft.com/office/drawing/2014/main" id="{DF616D3D-F69A-2CB9-B37D-7862DBA9B94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12</xdr:col>
      <xdr:colOff>67236</xdr:colOff>
      <xdr:row>271</xdr:row>
      <xdr:rowOff>17929</xdr:rowOff>
    </xdr:from>
    <xdr:to>
      <xdr:col>19</xdr:col>
      <xdr:colOff>168089</xdr:colOff>
      <xdr:row>289</xdr:row>
      <xdr:rowOff>95249</xdr:rowOff>
    </xdr:to>
    <xdr:graphicFrame macro="">
      <xdr:nvGraphicFramePr>
        <xdr:cNvPr id="12" name="Chart 11">
          <a:extLst>
            <a:ext uri="{FF2B5EF4-FFF2-40B4-BE49-F238E27FC236}">
              <a16:creationId xmlns:a16="http://schemas.microsoft.com/office/drawing/2014/main" id="{FF358768-2753-2163-5355-2E1BFC2E6A9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479051</xdr:colOff>
      <xdr:row>288</xdr:row>
      <xdr:rowOff>85165</xdr:rowOff>
    </xdr:from>
    <xdr:to>
      <xdr:col>11</xdr:col>
      <xdr:colOff>168087</xdr:colOff>
      <xdr:row>307</xdr:row>
      <xdr:rowOff>28015</xdr:rowOff>
    </xdr:to>
    <xdr:graphicFrame macro="">
      <xdr:nvGraphicFramePr>
        <xdr:cNvPr id="13" name="Chart 12">
          <a:extLst>
            <a:ext uri="{FF2B5EF4-FFF2-40B4-BE49-F238E27FC236}">
              <a16:creationId xmlns:a16="http://schemas.microsoft.com/office/drawing/2014/main" id="{FA9408DD-0215-FA18-837C-9D9F63A4E3E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13</xdr:col>
      <xdr:colOff>0</xdr:colOff>
      <xdr:row>293</xdr:row>
      <xdr:rowOff>22412</xdr:rowOff>
    </xdr:from>
    <xdr:to>
      <xdr:col>20</xdr:col>
      <xdr:colOff>571500</xdr:colOff>
      <xdr:row>313</xdr:row>
      <xdr:rowOff>33618</xdr:rowOff>
    </xdr:to>
    <xdr:graphicFrame macro="">
      <xdr:nvGraphicFramePr>
        <xdr:cNvPr id="14" name="Chart 13">
          <a:extLst>
            <a:ext uri="{FF2B5EF4-FFF2-40B4-BE49-F238E27FC236}">
              <a16:creationId xmlns:a16="http://schemas.microsoft.com/office/drawing/2014/main" id="{95A0836C-E88F-4225-B1B1-2EFF6DEF68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14</xdr:col>
      <xdr:colOff>537883</xdr:colOff>
      <xdr:row>32</xdr:row>
      <xdr:rowOff>50426</xdr:rowOff>
    </xdr:from>
    <xdr:to>
      <xdr:col>22</xdr:col>
      <xdr:colOff>0</xdr:colOff>
      <xdr:row>49</xdr:row>
      <xdr:rowOff>66115</xdr:rowOff>
    </xdr:to>
    <xdr:graphicFrame macro="">
      <xdr:nvGraphicFramePr>
        <xdr:cNvPr id="15" name="Chart 14">
          <a:extLst>
            <a:ext uri="{FF2B5EF4-FFF2-40B4-BE49-F238E27FC236}">
              <a16:creationId xmlns:a16="http://schemas.microsoft.com/office/drawing/2014/main" id="{926F6926-D6DF-69E1-34BD-7205CF2C96C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7</xdr:col>
      <xdr:colOff>95249</xdr:colOff>
      <xdr:row>314</xdr:row>
      <xdr:rowOff>180415</xdr:rowOff>
    </xdr:from>
    <xdr:to>
      <xdr:col>14</xdr:col>
      <xdr:colOff>196102</xdr:colOff>
      <xdr:row>329</xdr:row>
      <xdr:rowOff>150159</xdr:rowOff>
    </xdr:to>
    <xdr:graphicFrame macro="">
      <xdr:nvGraphicFramePr>
        <xdr:cNvPr id="16" name="Chart 15">
          <a:extLst>
            <a:ext uri="{FF2B5EF4-FFF2-40B4-BE49-F238E27FC236}">
              <a16:creationId xmlns:a16="http://schemas.microsoft.com/office/drawing/2014/main" id="{CBB6741E-29E0-F484-44B2-01EF50A3EB1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10</xdr:col>
      <xdr:colOff>0</xdr:colOff>
      <xdr:row>332</xdr:row>
      <xdr:rowOff>0</xdr:rowOff>
    </xdr:from>
    <xdr:to>
      <xdr:col>17</xdr:col>
      <xdr:colOff>100853</xdr:colOff>
      <xdr:row>346</xdr:row>
      <xdr:rowOff>154641</xdr:rowOff>
    </xdr:to>
    <xdr:graphicFrame macro="">
      <xdr:nvGraphicFramePr>
        <xdr:cNvPr id="17" name="Chart 16">
          <a:extLst>
            <a:ext uri="{FF2B5EF4-FFF2-40B4-BE49-F238E27FC236}">
              <a16:creationId xmlns:a16="http://schemas.microsoft.com/office/drawing/2014/main" id="{F4BFF36E-FB31-480A-9994-929853826A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9</xdr:col>
      <xdr:colOff>409015</xdr:colOff>
      <xdr:row>77</xdr:row>
      <xdr:rowOff>40343</xdr:rowOff>
    </xdr:from>
    <xdr:to>
      <xdr:col>16</xdr:col>
      <xdr:colOff>448236</xdr:colOff>
      <xdr:row>96</xdr:row>
      <xdr:rowOff>180732</xdr:rowOff>
    </xdr:to>
    <xdr:graphicFrame macro="">
      <xdr:nvGraphicFramePr>
        <xdr:cNvPr id="19" name="Chart 18">
          <a:extLst>
            <a:ext uri="{FF2B5EF4-FFF2-40B4-BE49-F238E27FC236}">
              <a16:creationId xmlns:a16="http://schemas.microsoft.com/office/drawing/2014/main" id="{35B84AC0-4829-1487-1353-DF9DFFC1FB2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14</xdr:col>
      <xdr:colOff>106456</xdr:colOff>
      <xdr:row>16</xdr:row>
      <xdr:rowOff>109603</xdr:rowOff>
    </xdr:from>
    <xdr:to>
      <xdr:col>19</xdr:col>
      <xdr:colOff>627529</xdr:colOff>
      <xdr:row>28</xdr:row>
      <xdr:rowOff>61632</xdr:rowOff>
    </xdr:to>
    <xdr:graphicFrame macro="">
      <xdr:nvGraphicFramePr>
        <xdr:cNvPr id="20" name="Chart 19">
          <a:extLst>
            <a:ext uri="{FF2B5EF4-FFF2-40B4-BE49-F238E27FC236}">
              <a16:creationId xmlns:a16="http://schemas.microsoft.com/office/drawing/2014/main" id="{282FF393-83A8-A116-C324-C12113A9632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2</xdr:col>
      <xdr:colOff>327269</xdr:colOff>
      <xdr:row>358</xdr:row>
      <xdr:rowOff>57149</xdr:rowOff>
    </xdr:from>
    <xdr:to>
      <xdr:col>8</xdr:col>
      <xdr:colOff>244231</xdr:colOff>
      <xdr:row>373</xdr:row>
      <xdr:rowOff>89388</xdr:rowOff>
    </xdr:to>
    <xdr:graphicFrame macro="">
      <xdr:nvGraphicFramePr>
        <xdr:cNvPr id="18" name="Chart 17">
          <a:extLst>
            <a:ext uri="{FF2B5EF4-FFF2-40B4-BE49-F238E27FC236}">
              <a16:creationId xmlns:a16="http://schemas.microsoft.com/office/drawing/2014/main" id="{68227C27-7144-C1AB-248E-524C1675860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9</xdr:col>
      <xdr:colOff>0</xdr:colOff>
      <xdr:row>358</xdr:row>
      <xdr:rowOff>0</xdr:rowOff>
    </xdr:from>
    <xdr:to>
      <xdr:col>16</xdr:col>
      <xdr:colOff>92808</xdr:colOff>
      <xdr:row>373</xdr:row>
      <xdr:rowOff>32239</xdr:rowOff>
    </xdr:to>
    <xdr:graphicFrame macro="">
      <xdr:nvGraphicFramePr>
        <xdr:cNvPr id="21" name="Chart 20">
          <a:extLst>
            <a:ext uri="{FF2B5EF4-FFF2-40B4-BE49-F238E27FC236}">
              <a16:creationId xmlns:a16="http://schemas.microsoft.com/office/drawing/2014/main" id="{4A12DE0F-9C25-433E-996A-F52A96A694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xdr:col>
      <xdr:colOff>0</xdr:colOff>
      <xdr:row>378</xdr:row>
      <xdr:rowOff>24424</xdr:rowOff>
    </xdr:from>
    <xdr:to>
      <xdr:col>7</xdr:col>
      <xdr:colOff>556847</xdr:colOff>
      <xdr:row>390</xdr:row>
      <xdr:rowOff>32239</xdr:rowOff>
    </xdr:to>
    <xdr:graphicFrame macro="">
      <xdr:nvGraphicFramePr>
        <xdr:cNvPr id="22" name="Chart 21">
          <a:extLst>
            <a:ext uri="{FF2B5EF4-FFF2-40B4-BE49-F238E27FC236}">
              <a16:creationId xmlns:a16="http://schemas.microsoft.com/office/drawing/2014/main" id="{7D7FD795-1C6D-4CE1-8AFC-AA59CC7301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10</xdr:col>
      <xdr:colOff>0</xdr:colOff>
      <xdr:row>375</xdr:row>
      <xdr:rowOff>0</xdr:rowOff>
    </xdr:from>
    <xdr:to>
      <xdr:col>17</xdr:col>
      <xdr:colOff>92807</xdr:colOff>
      <xdr:row>390</xdr:row>
      <xdr:rowOff>32239</xdr:rowOff>
    </xdr:to>
    <xdr:graphicFrame macro="">
      <xdr:nvGraphicFramePr>
        <xdr:cNvPr id="23" name="Chart 22">
          <a:extLst>
            <a:ext uri="{FF2B5EF4-FFF2-40B4-BE49-F238E27FC236}">
              <a16:creationId xmlns:a16="http://schemas.microsoft.com/office/drawing/2014/main" id="{4AB397E2-0751-4DD1-9546-7FFD0725EF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337573</xdr:colOff>
      <xdr:row>172</xdr:row>
      <xdr:rowOff>156574</xdr:rowOff>
    </xdr:from>
    <xdr:to>
      <xdr:col>11</xdr:col>
      <xdr:colOff>198329</xdr:colOff>
      <xdr:row>186</xdr:row>
      <xdr:rowOff>15244</xdr:rowOff>
    </xdr:to>
    <xdr:graphicFrame macro="">
      <xdr:nvGraphicFramePr>
        <xdr:cNvPr id="24" name="Chart 23">
          <a:extLst>
            <a:ext uri="{FF2B5EF4-FFF2-40B4-BE49-F238E27FC236}">
              <a16:creationId xmlns:a16="http://schemas.microsoft.com/office/drawing/2014/main" id="{89F0631D-90A6-4BAE-9D69-994DC75A8B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xdr:col>
      <xdr:colOff>78288</xdr:colOff>
      <xdr:row>173</xdr:row>
      <xdr:rowOff>135699</xdr:rowOff>
    </xdr:from>
    <xdr:to>
      <xdr:col>3</xdr:col>
      <xdr:colOff>793315</xdr:colOff>
      <xdr:row>186</xdr:row>
      <xdr:rowOff>155695</xdr:rowOff>
    </xdr:to>
    <xdr:graphicFrame macro="">
      <xdr:nvGraphicFramePr>
        <xdr:cNvPr id="25" name="Chart 24">
          <a:extLst>
            <a:ext uri="{FF2B5EF4-FFF2-40B4-BE49-F238E27FC236}">
              <a16:creationId xmlns:a16="http://schemas.microsoft.com/office/drawing/2014/main" id="{3612DA31-966C-4124-975F-263605E7B4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18</xdr:col>
      <xdr:colOff>0</xdr:colOff>
      <xdr:row>358</xdr:row>
      <xdr:rowOff>0</xdr:rowOff>
    </xdr:from>
    <xdr:to>
      <xdr:col>25</xdr:col>
      <xdr:colOff>92808</xdr:colOff>
      <xdr:row>373</xdr:row>
      <xdr:rowOff>32239</xdr:rowOff>
    </xdr:to>
    <xdr:graphicFrame macro="">
      <xdr:nvGraphicFramePr>
        <xdr:cNvPr id="26" name="Chart 25">
          <a:extLst>
            <a:ext uri="{FF2B5EF4-FFF2-40B4-BE49-F238E27FC236}">
              <a16:creationId xmlns:a16="http://schemas.microsoft.com/office/drawing/2014/main" id="{E35A7C6F-23B9-489B-99FF-ECE4B28DAE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9</xdr:col>
      <xdr:colOff>347076</xdr:colOff>
      <xdr:row>436</xdr:row>
      <xdr:rowOff>161794</xdr:rowOff>
    </xdr:from>
    <xdr:to>
      <xdr:col>14</xdr:col>
      <xdr:colOff>459288</xdr:colOff>
      <xdr:row>453</xdr:row>
      <xdr:rowOff>88724</xdr:rowOff>
    </xdr:to>
    <xdr:graphicFrame macro="">
      <xdr:nvGraphicFramePr>
        <xdr:cNvPr id="2" name="Chart 1">
          <a:extLst>
            <a:ext uri="{FF2B5EF4-FFF2-40B4-BE49-F238E27FC236}">
              <a16:creationId xmlns:a16="http://schemas.microsoft.com/office/drawing/2014/main" id="{258A4EB1-4981-3DA2-B94C-503E5465F47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3</xdr:col>
      <xdr:colOff>735904</xdr:colOff>
      <xdr:row>475</xdr:row>
      <xdr:rowOff>83506</xdr:rowOff>
    </xdr:from>
    <xdr:to>
      <xdr:col>9</xdr:col>
      <xdr:colOff>41754</xdr:colOff>
      <xdr:row>489</xdr:row>
      <xdr:rowOff>88726</xdr:rowOff>
    </xdr:to>
    <xdr:graphicFrame macro="">
      <xdr:nvGraphicFramePr>
        <xdr:cNvPr id="4" name="Chart 3">
          <a:extLst>
            <a:ext uri="{FF2B5EF4-FFF2-40B4-BE49-F238E27FC236}">
              <a16:creationId xmlns:a16="http://schemas.microsoft.com/office/drawing/2014/main" id="{FE4BBAF1-82F6-89BD-7061-C6218B1AFBE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12</xdr:col>
      <xdr:colOff>28705</xdr:colOff>
      <xdr:row>459</xdr:row>
      <xdr:rowOff>16701</xdr:rowOff>
    </xdr:from>
    <xdr:to>
      <xdr:col>21</xdr:col>
      <xdr:colOff>375781</xdr:colOff>
      <xdr:row>482</xdr:row>
      <xdr:rowOff>15658</xdr:rowOff>
    </xdr:to>
    <xdr:graphicFrame macro="">
      <xdr:nvGraphicFramePr>
        <xdr:cNvPr id="27" name="Chart 26">
          <a:extLst>
            <a:ext uri="{FF2B5EF4-FFF2-40B4-BE49-F238E27FC236}">
              <a16:creationId xmlns:a16="http://schemas.microsoft.com/office/drawing/2014/main" id="{C2C2C725-319E-C6E9-5AC5-C0E6A2B4E6F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4</xdr:col>
      <xdr:colOff>446239</xdr:colOff>
      <xdr:row>491</xdr:row>
      <xdr:rowOff>147181</xdr:rowOff>
    </xdr:from>
    <xdr:to>
      <xdr:col>8</xdr:col>
      <xdr:colOff>626302</xdr:colOff>
      <xdr:row>506</xdr:row>
      <xdr:rowOff>150313</xdr:rowOff>
    </xdr:to>
    <xdr:graphicFrame macro="">
      <xdr:nvGraphicFramePr>
        <xdr:cNvPr id="28" name="Chart 27">
          <a:extLst>
            <a:ext uri="{FF2B5EF4-FFF2-40B4-BE49-F238E27FC236}">
              <a16:creationId xmlns:a16="http://schemas.microsoft.com/office/drawing/2014/main" id="{0EFCE355-0F60-218A-A95E-545956FF2FB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7</xdr:col>
      <xdr:colOff>232253</xdr:colOff>
      <xdr:row>511</xdr:row>
      <xdr:rowOff>94990</xdr:rowOff>
    </xdr:from>
    <xdr:to>
      <xdr:col>14</xdr:col>
      <xdr:colOff>62630</xdr:colOff>
      <xdr:row>526</xdr:row>
      <xdr:rowOff>98121</xdr:rowOff>
    </xdr:to>
    <xdr:graphicFrame macro="">
      <xdr:nvGraphicFramePr>
        <xdr:cNvPr id="11" name="Chart 10">
          <a:extLst>
            <a:ext uri="{FF2B5EF4-FFF2-40B4-BE49-F238E27FC236}">
              <a16:creationId xmlns:a16="http://schemas.microsoft.com/office/drawing/2014/main" id="{D1CEF78C-1DE6-1592-81F6-CDB8CA1723B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10</xdr:col>
      <xdr:colOff>112212</xdr:colOff>
      <xdr:row>531</xdr:row>
      <xdr:rowOff>74112</xdr:rowOff>
    </xdr:from>
    <xdr:to>
      <xdr:col>17</xdr:col>
      <xdr:colOff>229643</xdr:colOff>
      <xdr:row>547</xdr:row>
      <xdr:rowOff>177453</xdr:rowOff>
    </xdr:to>
    <xdr:graphicFrame macro="">
      <xdr:nvGraphicFramePr>
        <xdr:cNvPr id="29" name="Chart 28">
          <a:extLst>
            <a:ext uri="{FF2B5EF4-FFF2-40B4-BE49-F238E27FC236}">
              <a16:creationId xmlns:a16="http://schemas.microsoft.com/office/drawing/2014/main" id="{4AFF7B45-C873-A277-DBF1-477C34AA032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10</xdr:col>
      <xdr:colOff>247910</xdr:colOff>
      <xdr:row>550</xdr:row>
      <xdr:rowOff>6263</xdr:rowOff>
    </xdr:from>
    <xdr:to>
      <xdr:col>17</xdr:col>
      <xdr:colOff>326197</xdr:colOff>
      <xdr:row>566</xdr:row>
      <xdr:rowOff>5219</xdr:rowOff>
    </xdr:to>
    <xdr:graphicFrame macro="">
      <xdr:nvGraphicFramePr>
        <xdr:cNvPr id="30" name="Chart 29">
          <a:extLst>
            <a:ext uri="{FF2B5EF4-FFF2-40B4-BE49-F238E27FC236}">
              <a16:creationId xmlns:a16="http://schemas.microsoft.com/office/drawing/2014/main" id="{8F5AEE3A-2937-1F0D-08C4-5FD7D2DDEFB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2</xdr:col>
      <xdr:colOff>106993</xdr:colOff>
      <xdr:row>550</xdr:row>
      <xdr:rowOff>131524</xdr:rowOff>
    </xdr:from>
    <xdr:to>
      <xdr:col>7</xdr:col>
      <xdr:colOff>302712</xdr:colOff>
      <xdr:row>565</xdr:row>
      <xdr:rowOff>134655</xdr:rowOff>
    </xdr:to>
    <xdr:graphicFrame macro="">
      <xdr:nvGraphicFramePr>
        <xdr:cNvPr id="31" name="Chart 30">
          <a:extLst>
            <a:ext uri="{FF2B5EF4-FFF2-40B4-BE49-F238E27FC236}">
              <a16:creationId xmlns:a16="http://schemas.microsoft.com/office/drawing/2014/main" id="{455BF4AC-D30D-9588-462F-47E7F8DFFB7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xdr:col>
      <xdr:colOff>0</xdr:colOff>
      <xdr:row>567</xdr:row>
      <xdr:rowOff>0</xdr:rowOff>
    </xdr:from>
    <xdr:to>
      <xdr:col>8</xdr:col>
      <xdr:colOff>461898</xdr:colOff>
      <xdr:row>582</xdr:row>
      <xdr:rowOff>3131</xdr:rowOff>
    </xdr:to>
    <xdr:graphicFrame macro="">
      <xdr:nvGraphicFramePr>
        <xdr:cNvPr id="32" name="Chart 31">
          <a:extLst>
            <a:ext uri="{FF2B5EF4-FFF2-40B4-BE49-F238E27FC236}">
              <a16:creationId xmlns:a16="http://schemas.microsoft.com/office/drawing/2014/main" id="{B2AEDDA4-0DFD-4104-9593-2EC3063AAE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12</xdr:col>
      <xdr:colOff>623692</xdr:colOff>
      <xdr:row>569</xdr:row>
      <xdr:rowOff>110646</xdr:rowOff>
    </xdr:from>
    <xdr:to>
      <xdr:col>19</xdr:col>
      <xdr:colOff>0</xdr:colOff>
      <xdr:row>584</xdr:row>
      <xdr:rowOff>113778</xdr:rowOff>
    </xdr:to>
    <xdr:graphicFrame macro="">
      <xdr:nvGraphicFramePr>
        <xdr:cNvPr id="33" name="Chart 32">
          <a:extLst>
            <a:ext uri="{FF2B5EF4-FFF2-40B4-BE49-F238E27FC236}">
              <a16:creationId xmlns:a16="http://schemas.microsoft.com/office/drawing/2014/main" id="{58CD8200-A615-7220-FD12-6D13281FF9E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16</xdr:col>
      <xdr:colOff>512401</xdr:colOff>
      <xdr:row>410</xdr:row>
      <xdr:rowOff>53514</xdr:rowOff>
    </xdr:from>
    <xdr:to>
      <xdr:col>27</xdr:col>
      <xdr:colOff>99164</xdr:colOff>
      <xdr:row>437</xdr:row>
      <xdr:rowOff>20877</xdr:rowOff>
    </xdr:to>
    <xdr:graphicFrame macro="">
      <xdr:nvGraphicFramePr>
        <xdr:cNvPr id="34" name="Chart 33">
          <a:extLst>
            <a:ext uri="{FF2B5EF4-FFF2-40B4-BE49-F238E27FC236}">
              <a16:creationId xmlns:a16="http://schemas.microsoft.com/office/drawing/2014/main" id="{6D823F55-047D-3D9D-8358-1415F176595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7</xdr:col>
      <xdr:colOff>153964</xdr:colOff>
      <xdr:row>418</xdr:row>
      <xdr:rowOff>84550</xdr:rowOff>
    </xdr:from>
    <xdr:to>
      <xdr:col>14</xdr:col>
      <xdr:colOff>232252</xdr:colOff>
      <xdr:row>433</xdr:row>
      <xdr:rowOff>87681</xdr:rowOff>
    </xdr:to>
    <xdr:graphicFrame macro="">
      <xdr:nvGraphicFramePr>
        <xdr:cNvPr id="36" name="Chart 35">
          <a:extLst>
            <a:ext uri="{FF2B5EF4-FFF2-40B4-BE49-F238E27FC236}">
              <a16:creationId xmlns:a16="http://schemas.microsoft.com/office/drawing/2014/main" id="{3E760714-23FD-40D9-0E99-EC67976B69E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7</xdr:col>
      <xdr:colOff>321129</xdr:colOff>
      <xdr:row>319</xdr:row>
      <xdr:rowOff>76199</xdr:rowOff>
    </xdr:from>
    <xdr:to>
      <xdr:col>15</xdr:col>
      <xdr:colOff>337458</xdr:colOff>
      <xdr:row>336</xdr:row>
      <xdr:rowOff>87085</xdr:rowOff>
    </xdr:to>
    <xdr:graphicFrame macro="">
      <xdr:nvGraphicFramePr>
        <xdr:cNvPr id="2" name="Chart 1">
          <a:extLst>
            <a:ext uri="{FF2B5EF4-FFF2-40B4-BE49-F238E27FC236}">
              <a16:creationId xmlns:a16="http://schemas.microsoft.com/office/drawing/2014/main" id="{A8039F57-433A-8F34-9E0B-1F19B3F6181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332015</xdr:colOff>
      <xdr:row>340</xdr:row>
      <xdr:rowOff>168730</xdr:rowOff>
    </xdr:from>
    <xdr:to>
      <xdr:col>15</xdr:col>
      <xdr:colOff>348344</xdr:colOff>
      <xdr:row>362</xdr:row>
      <xdr:rowOff>1</xdr:rowOff>
    </xdr:to>
    <xdr:graphicFrame macro="">
      <xdr:nvGraphicFramePr>
        <xdr:cNvPr id="5" name="Chart 4">
          <a:extLst>
            <a:ext uri="{FF2B5EF4-FFF2-40B4-BE49-F238E27FC236}">
              <a16:creationId xmlns:a16="http://schemas.microsoft.com/office/drawing/2014/main" id="{AC72D5DB-B361-48E6-B293-C6783D02AB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593272</xdr:colOff>
      <xdr:row>364</xdr:row>
      <xdr:rowOff>97971</xdr:rowOff>
    </xdr:from>
    <xdr:to>
      <xdr:col>15</xdr:col>
      <xdr:colOff>108858</xdr:colOff>
      <xdr:row>379</xdr:row>
      <xdr:rowOff>65314</xdr:rowOff>
    </xdr:to>
    <xdr:graphicFrame macro="">
      <xdr:nvGraphicFramePr>
        <xdr:cNvPr id="3" name="Chart 2">
          <a:extLst>
            <a:ext uri="{FF2B5EF4-FFF2-40B4-BE49-F238E27FC236}">
              <a16:creationId xmlns:a16="http://schemas.microsoft.com/office/drawing/2014/main" id="{4F876330-4E66-6ED3-D4AC-C2D807361E1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182335</xdr:colOff>
      <xdr:row>365</xdr:row>
      <xdr:rowOff>108857</xdr:rowOff>
    </xdr:from>
    <xdr:to>
      <xdr:col>8</xdr:col>
      <xdr:colOff>73477</xdr:colOff>
      <xdr:row>380</xdr:row>
      <xdr:rowOff>76200</xdr:rowOff>
    </xdr:to>
    <xdr:graphicFrame macro="">
      <xdr:nvGraphicFramePr>
        <xdr:cNvPr id="4" name="Chart 3">
          <a:extLst>
            <a:ext uri="{FF2B5EF4-FFF2-40B4-BE49-F238E27FC236}">
              <a16:creationId xmlns:a16="http://schemas.microsoft.com/office/drawing/2014/main" id="{5915349E-0FD5-3C65-4222-57D4035A455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38101</xdr:colOff>
      <xdr:row>421</xdr:row>
      <xdr:rowOff>125186</xdr:rowOff>
    </xdr:from>
    <xdr:to>
      <xdr:col>12</xdr:col>
      <xdr:colOff>114301</xdr:colOff>
      <xdr:row>438</xdr:row>
      <xdr:rowOff>27215</xdr:rowOff>
    </xdr:to>
    <xdr:graphicFrame macro="">
      <xdr:nvGraphicFramePr>
        <xdr:cNvPr id="6" name="Chart 5">
          <a:extLst>
            <a:ext uri="{FF2B5EF4-FFF2-40B4-BE49-F238E27FC236}">
              <a16:creationId xmlns:a16="http://schemas.microsoft.com/office/drawing/2014/main" id="{714424B8-9F2B-0C00-6477-15BF6B74638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13</xdr:col>
      <xdr:colOff>5443</xdr:colOff>
      <xdr:row>438</xdr:row>
      <xdr:rowOff>65315</xdr:rowOff>
    </xdr:from>
    <xdr:to>
      <xdr:col>21</xdr:col>
      <xdr:colOff>108857</xdr:colOff>
      <xdr:row>453</xdr:row>
      <xdr:rowOff>32658</xdr:rowOff>
    </xdr:to>
    <xdr:graphicFrame macro="">
      <xdr:nvGraphicFramePr>
        <xdr:cNvPr id="7" name="Chart 6">
          <a:extLst>
            <a:ext uri="{FF2B5EF4-FFF2-40B4-BE49-F238E27FC236}">
              <a16:creationId xmlns:a16="http://schemas.microsoft.com/office/drawing/2014/main" id="{845AF40F-10CC-0F9A-3996-ED12B957A98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568778</xdr:colOff>
      <xdr:row>449</xdr:row>
      <xdr:rowOff>27213</xdr:rowOff>
    </xdr:from>
    <xdr:to>
      <xdr:col>10</xdr:col>
      <xdr:colOff>2721</xdr:colOff>
      <xdr:row>463</xdr:row>
      <xdr:rowOff>179613</xdr:rowOff>
    </xdr:to>
    <xdr:graphicFrame macro="">
      <xdr:nvGraphicFramePr>
        <xdr:cNvPr id="8" name="Chart 7">
          <a:extLst>
            <a:ext uri="{FF2B5EF4-FFF2-40B4-BE49-F238E27FC236}">
              <a16:creationId xmlns:a16="http://schemas.microsoft.com/office/drawing/2014/main" id="{31A36742-E3A7-909E-D21F-18EAD2D18A4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12</xdr:col>
      <xdr:colOff>0</xdr:colOff>
      <xdr:row>456</xdr:row>
      <xdr:rowOff>0</xdr:rowOff>
    </xdr:from>
    <xdr:to>
      <xdr:col>20</xdr:col>
      <xdr:colOff>76200</xdr:colOff>
      <xdr:row>470</xdr:row>
      <xdr:rowOff>152400</xdr:rowOff>
    </xdr:to>
    <xdr:graphicFrame macro="">
      <xdr:nvGraphicFramePr>
        <xdr:cNvPr id="9" name="Chart 8">
          <a:extLst>
            <a:ext uri="{FF2B5EF4-FFF2-40B4-BE49-F238E27FC236}">
              <a16:creationId xmlns:a16="http://schemas.microsoft.com/office/drawing/2014/main" id="{A89EAC4D-1EE0-43AF-B2D2-A5A8BBFAED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8</xdr:col>
      <xdr:colOff>321128</xdr:colOff>
      <xdr:row>481</xdr:row>
      <xdr:rowOff>2721</xdr:rowOff>
    </xdr:from>
    <xdr:to>
      <xdr:col>16</xdr:col>
      <xdr:colOff>495300</xdr:colOff>
      <xdr:row>496</xdr:row>
      <xdr:rowOff>97971</xdr:rowOff>
    </xdr:to>
    <xdr:graphicFrame macro="">
      <xdr:nvGraphicFramePr>
        <xdr:cNvPr id="11" name="Chart 10">
          <a:extLst>
            <a:ext uri="{FF2B5EF4-FFF2-40B4-BE49-F238E27FC236}">
              <a16:creationId xmlns:a16="http://schemas.microsoft.com/office/drawing/2014/main" id="{7E7FA837-20D2-0F07-55BE-CFF4A4F7768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14</xdr:col>
      <xdr:colOff>234043</xdr:colOff>
      <xdr:row>500</xdr:row>
      <xdr:rowOff>108856</xdr:rowOff>
    </xdr:from>
    <xdr:to>
      <xdr:col>23</xdr:col>
      <xdr:colOff>5443</xdr:colOff>
      <xdr:row>520</xdr:row>
      <xdr:rowOff>5442</xdr:rowOff>
    </xdr:to>
    <xdr:graphicFrame macro="">
      <xdr:nvGraphicFramePr>
        <xdr:cNvPr id="10" name="Chart 9">
          <a:extLst>
            <a:ext uri="{FF2B5EF4-FFF2-40B4-BE49-F238E27FC236}">
              <a16:creationId xmlns:a16="http://schemas.microsoft.com/office/drawing/2014/main" id="{4B3B1279-58FB-A119-D68C-51F21BCF995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772886</xdr:colOff>
      <xdr:row>508</xdr:row>
      <xdr:rowOff>125185</xdr:rowOff>
    </xdr:from>
    <xdr:to>
      <xdr:col>9</xdr:col>
      <xdr:colOff>408215</xdr:colOff>
      <xdr:row>525</xdr:row>
      <xdr:rowOff>87084</xdr:rowOff>
    </xdr:to>
    <xdr:graphicFrame macro="">
      <xdr:nvGraphicFramePr>
        <xdr:cNvPr id="12" name="Chart 11">
          <a:extLst>
            <a:ext uri="{FF2B5EF4-FFF2-40B4-BE49-F238E27FC236}">
              <a16:creationId xmlns:a16="http://schemas.microsoft.com/office/drawing/2014/main" id="{86E06663-AD1E-E165-15BA-EA61DD3721A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xdr:col>
      <xdr:colOff>669470</xdr:colOff>
      <xdr:row>541</xdr:row>
      <xdr:rowOff>84363</xdr:rowOff>
    </xdr:from>
    <xdr:to>
      <xdr:col>8</xdr:col>
      <xdr:colOff>642255</xdr:colOff>
      <xdr:row>557</xdr:row>
      <xdr:rowOff>5441</xdr:rowOff>
    </xdr:to>
    <xdr:graphicFrame macro="">
      <xdr:nvGraphicFramePr>
        <xdr:cNvPr id="13" name="Chart 12">
          <a:extLst>
            <a:ext uri="{FF2B5EF4-FFF2-40B4-BE49-F238E27FC236}">
              <a16:creationId xmlns:a16="http://schemas.microsoft.com/office/drawing/2014/main" id="{416521B7-1E5E-C678-268F-6FACA684679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11</xdr:col>
      <xdr:colOff>27213</xdr:colOff>
      <xdr:row>532</xdr:row>
      <xdr:rowOff>127907</xdr:rowOff>
    </xdr:from>
    <xdr:to>
      <xdr:col>18</xdr:col>
      <xdr:colOff>76199</xdr:colOff>
      <xdr:row>547</xdr:row>
      <xdr:rowOff>95250</xdr:rowOff>
    </xdr:to>
    <xdr:graphicFrame macro="">
      <xdr:nvGraphicFramePr>
        <xdr:cNvPr id="14" name="Chart 13">
          <a:extLst>
            <a:ext uri="{FF2B5EF4-FFF2-40B4-BE49-F238E27FC236}">
              <a16:creationId xmlns:a16="http://schemas.microsoft.com/office/drawing/2014/main" id="{00DACDBF-92EB-8CEF-2633-4ECE8A8DAAF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dcfil02\CHQ_users\ghorn00\My%20Documents\VoIP%20Model\Cisco%20VoIP%20Model%20v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Tell-Us%20Adm-Store-Kunder\&#216;konomi\Periodeavslutning\Res%20Kundedimensjon%202002P2%20EBITDA.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KSTAB-U2-50-002\DATA1\KOE\KATALOG\GENERELL\ARKIV-ID\TTSEFJ\AARSPAK2.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Usjsv002\user%20folder2\Planning\FLASH%20SUMMARY\050912%20Flash%20Daily%20Report\Back%20Up&#29992;\Back%20Up&#29992;\EMM%20%20&#23455;&#32318;Review.xls" TargetMode="External"/></Relationships>
</file>

<file path=xl/externalLinks/_rels/externalLink13.xml.rels><?xml version="1.0" encoding="UTF-8" standalone="yes"?>
<Relationships xmlns="http://schemas.openxmlformats.org/package/2006/relationships"><Relationship Id="rId1" Type="http://schemas.microsoft.com/office/2006/relationships/xlExternalLinkPath/xlStartup" Target="TELCO/MODELS/Emerging/TPSA_WIP.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cable\finance\TAX51A\COBB\EXCEL\CASHFLOW\2005\1st%20Qtr%202005\FAS%20115%20Tax%201Q05.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Usjsv002\user%20folder2\Accounting\&#20104;&#23455;&#38306;&#36899;\_FY06&#20104;&#23455;\_Reporting\_&#12381;&#12398;&#20182;BS&#12539;CF&#12539;Inventory\&#12381;&#12398;&#20182;&#12524;&#12509;&#12540;&#12488;&#12501;&#12449;&#12452;&#12523;-&#26368;&#26032;&#2925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cable\corp-dfs\Financial%20Planning\REPORTING\2016\1Q16\Below%20the%20Line\Support\Net_IncomeBridge.xlsm"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cable\Documents%20and%20Settings\PurvisR\Local%20Settings\Temporary%20Internet%20Files\OLK7F\Documents%20and%20Settings\PreeceS\Local%20Settings\Temporary%20Internet%20Files\OLK22\Overhead%20Consolidation%20December%202003.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Usjsv002\user%20folder2\Accounting\&#20104;&#23455;&#38306;&#36899;\_FY04&#20104;&#23455;\_&#12381;&#12398;&#20182;\200405&#35211;&#36796;&#12415;&#12384;.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Usjsv002\user%20folder2\Accounting\&#20104;&#23455;&#38306;&#36899;\_FY06&#20104;&#23455;\_Reporting\_PL&#38306;&#36899;\FY06_&#37096;&#38263;&#20250;&#29992;&#36039;&#26009;&#20316;&#25104;&#65420;&#65383;&#65394;&#65433;-&#26368;&#26032;&#2925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t539562\Local%20Settings\Temporary%20Internet%20Files\OLK9\&#216;k%20per%20kontrakt%20-%20tapsavsetning.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Users\sdatta\AppData\Local\Microsoft\Windows\Temporary%20Internet%20Files\Content.Outlook\09C9AHYJ\My%20Documents\Country%20models\workspace\fixed%20seeds%20v0.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App3\common\CORPACCT\Financial%20Reporting\SEC\FORM10-Q\2004\3Q%202004\Corporate\workpapers\Debt%20Report%209-30-2004%20FINAL.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Usjsv002\user%20folder2\Accounting\&#20104;&#23455;&#38306;&#36899;\_FY05&#20104;&#23455;\_Package\&#20840;&#31038;&#65381;&#37096;&#21029;&#22522;&#30990;Data&#21152;&#24037;&#20966;&#29702;_&#26368;&#26032;&#29256;.xls" TargetMode="External"/></Relationships>
</file>

<file path=xl/externalLinks/_rels/externalLink23.xml.rels><?xml version="1.0" encoding="UTF-8" standalone="yes"?>
<Relationships xmlns="http://schemas.openxmlformats.org/package/2006/relationships"><Relationship Id="rId2" Type="http://schemas.openxmlformats.org/officeDocument/2006/relationships/externalLinkPath" Target="file:///C:\Users\Soomit%20Datta\Downloads\Historical-Financials_1Q24_Block%20(2).xlsx" TargetMode="External"/><Relationship Id="rId1" Type="http://schemas.openxmlformats.org/officeDocument/2006/relationships/externalLinkPath" Target="file:///C:\Users\Soomit%20Datta\Downloads\Historical-Financials_1Q24_Block%20(2).xlsx" TargetMode="External"/></Relationships>
</file>

<file path=xl/externalLinks/_rels/externalLink24.xml.rels><?xml version="1.0" encoding="UTF-8" standalone="yes"?>
<Relationships xmlns="http://schemas.openxmlformats.org/package/2006/relationships"><Relationship Id="rId2" Type="http://schemas.openxmlformats.org/officeDocument/2006/relationships/externalLinkPath" Target="file:///S:\TELECOMS\STOCKS\North%20America\Paypal\Current%20model\PYPL%20current.xlsx" TargetMode="External"/><Relationship Id="rId1" Type="http://schemas.openxmlformats.org/officeDocument/2006/relationships/externalLinkPath" Target="/TELECOMS/STOCKS/North%20America/Paypal/Current%20model/PYPL%20current.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STOCKS\EUROPE\Norway\TNOR\Models\Current\TNOR_curren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STOCKS\EUROPE\UK\BT\Models\Current\BT5%20Broadband%20Scenario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Koe\Katalog\RAPPORT\Mnd-00\Diverse\maler\Rapportpakke%20Excel%20kvartal.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STOCKS\EUROPE\UK\VOD\Models\Current\Vodafone(2sep03).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TELECOMS/STOCKS/ASIA%20(ex-Japan)%20Internet/Tech%20analyser%20v2.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sgb24506\restore\23010101\TELC\TELCOS\UK\BT\NEWERA\BTMODEL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HK_OKOK\Bud_rapp\MNDRAPP\2000\0004\Utrapportert\pres0004%20Business%20Solutio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quipment"/>
      <sheetName val="Model"/>
      <sheetName val="Financial Statements"/>
      <sheetName val="Capex"/>
      <sheetName val="Capex Input"/>
      <sheetName val="Results"/>
      <sheetName val="BTS Tables"/>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BITDA"/>
      <sheetName val="2002 Total"/>
      <sheetName val="EBITDA mnd"/>
      <sheetName val="R2002"/>
      <sheetName val="B2002"/>
      <sheetName val="ASK"/>
      <sheetName val="Standardkalkyle"/>
      <sheetName val="Diagram DB"/>
      <sheetName val="Omsetning diagram"/>
      <sheetName val="Grunnlag diagram"/>
      <sheetName val="Grunndata"/>
      <sheetName val="A-sted"/>
      <sheetName val="K-kost"/>
    </sheetNames>
    <sheetDataSet>
      <sheetData sheetId="0" refreshError="1"/>
      <sheetData sheetId="1"/>
      <sheetData sheetId="2" refreshError="1"/>
      <sheetData sheetId="3"/>
      <sheetData sheetId="4"/>
      <sheetData sheetId="5" refreshError="1"/>
      <sheetData sheetId="6"/>
      <sheetData sheetId="7" refreshError="1"/>
      <sheetData sheetId="8" refreshError="1"/>
      <sheetData sheetId="9" refreshError="1"/>
      <sheetData sheetId="10">
        <row r="3">
          <cell r="A3">
            <v>1</v>
          </cell>
          <cell r="B3" t="str">
            <v>Januar</v>
          </cell>
          <cell r="C3">
            <v>1</v>
          </cell>
        </row>
        <row r="4">
          <cell r="A4">
            <v>2</v>
          </cell>
          <cell r="B4" t="str">
            <v>Februar</v>
          </cell>
          <cell r="C4">
            <v>2</v>
          </cell>
        </row>
        <row r="5">
          <cell r="A5">
            <v>3</v>
          </cell>
          <cell r="B5" t="str">
            <v>Mars</v>
          </cell>
          <cell r="C5">
            <v>3</v>
          </cell>
        </row>
        <row r="6">
          <cell r="A6">
            <v>4</v>
          </cell>
          <cell r="B6" t="str">
            <v>April</v>
          </cell>
          <cell r="C6">
            <v>4</v>
          </cell>
        </row>
        <row r="7">
          <cell r="A7">
            <v>5</v>
          </cell>
          <cell r="B7" t="str">
            <v>Mai</v>
          </cell>
          <cell r="C7">
            <v>5</v>
          </cell>
        </row>
        <row r="8">
          <cell r="A8">
            <v>6</v>
          </cell>
          <cell r="B8" t="str">
            <v>Juni</v>
          </cell>
          <cell r="C8">
            <v>6</v>
          </cell>
        </row>
        <row r="9">
          <cell r="A9">
            <v>7</v>
          </cell>
          <cell r="B9" t="str">
            <v>Juli</v>
          </cell>
          <cell r="C9">
            <v>7</v>
          </cell>
        </row>
        <row r="10">
          <cell r="A10">
            <v>8</v>
          </cell>
          <cell r="B10" t="str">
            <v>August</v>
          </cell>
          <cell r="C10">
            <v>8</v>
          </cell>
        </row>
        <row r="11">
          <cell r="A11">
            <v>9</v>
          </cell>
          <cell r="B11" t="str">
            <v>September</v>
          </cell>
          <cell r="C11">
            <v>9</v>
          </cell>
        </row>
        <row r="12">
          <cell r="A12">
            <v>10</v>
          </cell>
          <cell r="B12" t="str">
            <v>Oktober</v>
          </cell>
          <cell r="C12">
            <v>10</v>
          </cell>
        </row>
        <row r="13">
          <cell r="A13">
            <v>11</v>
          </cell>
          <cell r="B13" t="str">
            <v>November</v>
          </cell>
          <cell r="C13">
            <v>11</v>
          </cell>
        </row>
        <row r="14">
          <cell r="A14">
            <v>12</v>
          </cell>
          <cell r="B14" t="str">
            <v>Desember</v>
          </cell>
          <cell r="C14">
            <v>12</v>
          </cell>
        </row>
      </sheetData>
      <sheetData sheetId="11"/>
      <sheetData sheetId="1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forma"/>
      <sheetName val="Grunndata"/>
      <sheetName val="tot"/>
      <sheetName val="CAPEX LRBP_Input"/>
      <sheetName val="Forside"/>
      <sheetName val="Front"/>
      <sheetName val="Sheet-8"/>
      <sheetName val="สรุปราคาค่าก่อสร้าง"/>
      <sheetName val="TB-2001-Apr'01"/>
      <sheetName val="TrialBalance Q3-2002"/>
      <sheetName val="1602-97"/>
      <sheetName val="19"/>
      <sheetName val="K-8"/>
      <sheetName val="เงินกู้ธนชาติ"/>
      <sheetName val="List_of_New_Sites_Propose2"/>
      <sheetName val="ADJ - RATE"/>
      <sheetName val="TOTAL PGS Group"/>
      <sheetName val="Sheet3"/>
      <sheetName val="Mar21"/>
      <sheetName val="Dtn-Jan 21  "/>
      <sheetName val="DTAC Telenor"/>
      <sheetName val="Account code for NewERP"/>
      <sheetName val="RC-New (VF.Feb21)"/>
      <sheetName val="list"/>
      <sheetName val="AARSPAK2"/>
      <sheetName val="Sheet1"/>
      <sheetName val="Employees"/>
      <sheetName val="UAD"/>
      <sheetName val="Basis P&amp;L"/>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 sheetId="22"/>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3FY 2nd Hafl Latest Estimate"/>
      <sheetName val="WeeklyData"/>
      <sheetName val="Sheet3"/>
    </sheetNames>
    <sheetDataSet>
      <sheetData sheetId="0" refreshError="1"/>
      <sheetData sheetId="1" refreshError="1"/>
      <sheetData sheetId="2"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stats"/>
      <sheetName val="Report Template"/>
      <sheetName val="Shareholder Structure"/>
      <sheetName val="Tariffs&amp;Traffic"/>
      <sheetName val="TPSA_Model"/>
      <sheetName val="__FDSCACHE__"/>
      <sheetName val="GSM"/>
      <sheetName val="Centertel_Model"/>
      <sheetName val="Centertel Consolidations"/>
      <sheetName val="TPSA_Capex"/>
      <sheetName val="TPSA_Group"/>
      <sheetName val="mwareValPrintout"/>
      <sheetName val="mwareTaxoPres"/>
      <sheetName val="Group_DCF"/>
      <sheetName val="Valuation Multiples"/>
      <sheetName val="Valuation Chart"/>
      <sheetName val="TPSA Q"/>
      <sheetName val="Dividend Chart"/>
      <sheetName val="Quarterly"/>
      <sheetName val="Consensus"/>
      <sheetName val="Mobile Ops Summary"/>
      <sheetName val="Centertel_Fins"/>
      <sheetName val="IS(PAS)consol"/>
      <sheetName val="CF(PAS)unconsol"/>
      <sheetName val="IS(PAS)unconsol"/>
      <sheetName val="GE 2"/>
      <sheetName val="Debt Summary"/>
      <sheetName val="Changes"/>
      <sheetName val="Benchmarking"/>
      <sheetName val="Chart Data"/>
      <sheetName val="Charts"/>
      <sheetName val="Sublink churn"/>
      <sheetName val="Link"/>
      <sheetName val="GE Upload"/>
      <sheetName val="FT-Link"/>
      <sheetName val="mwareDates"/>
      <sheetName val="Operational Changes"/>
      <sheetName val="mwarePreview"/>
      <sheetName val="Taglink"/>
      <sheetName val="MSAM Link"/>
      <sheetName val="TPSAQ link"/>
      <sheetName val="Quarterly_Table"/>
      <sheetName val="Quarterly Segments"/>
      <sheetName val="BS(PAS)unconsol"/>
      <sheetName val="CF(PAS)consol"/>
      <sheetName val="BS(PAS)consol"/>
      <sheetName val="Proportional"/>
      <sheetName val="Centertel_DCF"/>
      <sheetName val="TPSA_DCF"/>
      <sheetName val="mwareSettings"/>
      <sheetName val="Cellular_Market"/>
      <sheetName val="NMT"/>
      <sheetName val="Relative Pricing"/>
      <sheetName val="Sheet1"/>
      <sheetName val="xbrldates"/>
      <sheetName val="xbrlPreview"/>
      <sheetName val="xbrlSettings"/>
      <sheetName val="TPSA_WIP"/>
      <sheetName val="Macro_Assumptions"/>
      <sheetName val="MWare_Cached"/>
    </sheetNames>
    <sheetDataSet>
      <sheetData sheetId="0" refreshError="1"/>
      <sheetData sheetId="1" refreshError="1"/>
      <sheetData sheetId="2" refreshError="1"/>
      <sheetData sheetId="3" refreshError="1"/>
      <sheetData sheetId="4" refreshError="1">
        <row r="468">
          <cell r="O468">
            <v>7427.9247366746959</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Cost Report"/>
    </sheetNames>
    <sheetDataSet>
      <sheetData sheetId="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le_ID"/>
      <sheetName val="★ﾒﾆｭｰ"/>
    </sheetNames>
    <sheetDataSet>
      <sheetData sheetId="0" refreshError="1"/>
      <sheetData sheetId="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nd"/>
      <sheetName val="Ref"/>
      <sheetName val="WaterFall_Prep"/>
    </sheetNames>
    <sheetDataSet>
      <sheetData sheetId="0" refreshError="1"/>
      <sheetData sheetId="1" refreshError="1"/>
      <sheetData sheetId="2"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Z"/>
      <sheetName val="BEN"/>
      <sheetName val="BRA"/>
      <sheetName val="CE"/>
      <sheetName val="FRA"/>
      <sheetName val="ITA"/>
      <sheetName val="JPN"/>
      <sheetName val="KOR"/>
      <sheetName val="MEX"/>
      <sheetName val="NOR"/>
      <sheetName val="SPA"/>
      <sheetName val="UK"/>
      <sheetName val="UPIBV"/>
      <sheetName val="UPIO"/>
      <sheetName val="UPV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基礎ﾃﾞｰﾀ"/>
    </sheetNames>
    <sheetDataSet>
      <sheetData sheetId="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BITDA"/>
      <sheetName val="2002 Total"/>
      <sheetName val="EBITDA mnd"/>
      <sheetName val="R2002"/>
      <sheetName val="B2002"/>
      <sheetName val="ASK"/>
      <sheetName val="Standardkalkyle"/>
      <sheetName val="Diagram DB"/>
      <sheetName val="Omsetning diagram"/>
      <sheetName val="Grunnlag diagram"/>
      <sheetName val="Grunndata"/>
      <sheetName val="A-sted"/>
      <sheetName val="K-kost"/>
    </sheetNames>
    <sheetDataSet>
      <sheetData sheetId="0" refreshError="1"/>
      <sheetData sheetId="1"/>
      <sheetData sheetId="2" refreshError="1"/>
      <sheetData sheetId="3"/>
      <sheetData sheetId="4"/>
      <sheetData sheetId="5" refreshError="1"/>
      <sheetData sheetId="6" refreshError="1"/>
      <sheetData sheetId="7" refreshError="1"/>
      <sheetData sheetId="8" refreshError="1"/>
      <sheetData sheetId="9" refreshError="1"/>
      <sheetData sheetId="10"/>
      <sheetData sheetId="11">
        <row r="8">
          <cell r="A8" t="str">
            <v>92000</v>
          </cell>
          <cell r="B8">
            <v>572754.43999999994</v>
          </cell>
          <cell r="C8">
            <v>638109.75</v>
          </cell>
          <cell r="D8">
            <v>455414.35</v>
          </cell>
          <cell r="E8">
            <v>633339.72</v>
          </cell>
          <cell r="F8">
            <v>1213897.45</v>
          </cell>
          <cell r="G8">
            <v>1357058.72</v>
          </cell>
          <cell r="H8">
            <v>906607.45</v>
          </cell>
          <cell r="I8">
            <v>1485501.87</v>
          </cell>
          <cell r="J8">
            <v>1471471.16</v>
          </cell>
          <cell r="O8" t="str">
            <v>92000</v>
          </cell>
          <cell r="P8">
            <v>572754.43999999994</v>
          </cell>
          <cell r="Q8">
            <v>1210864.19</v>
          </cell>
          <cell r="R8">
            <v>1666278.54</v>
          </cell>
          <cell r="S8">
            <v>2299618.2599999998</v>
          </cell>
          <cell r="T8">
            <v>3513515.71</v>
          </cell>
          <cell r="U8">
            <v>4870574.43</v>
          </cell>
          <cell r="V8">
            <v>5777181.8799999999</v>
          </cell>
          <cell r="W8">
            <v>7262683.75</v>
          </cell>
          <cell r="X8">
            <v>8734154.9100000001</v>
          </cell>
          <cell r="Y8">
            <v>8734154.9100000001</v>
          </cell>
          <cell r="Z8">
            <v>8734154.9100000001</v>
          </cell>
          <cell r="AA8">
            <v>8734154.9100000001</v>
          </cell>
        </row>
        <row r="9">
          <cell r="A9" t="str">
            <v>92100</v>
          </cell>
          <cell r="B9">
            <v>154549.20000000001</v>
          </cell>
          <cell r="C9">
            <v>181790.48</v>
          </cell>
          <cell r="D9">
            <v>-52647.27</v>
          </cell>
          <cell r="E9">
            <v>94947.77</v>
          </cell>
          <cell r="F9">
            <v>104831.27</v>
          </cell>
          <cell r="G9">
            <v>84803.5</v>
          </cell>
          <cell r="H9">
            <v>80114.16</v>
          </cell>
          <cell r="I9">
            <v>83136.800000000003</v>
          </cell>
          <cell r="J9">
            <v>102074.35</v>
          </cell>
          <cell r="O9" t="str">
            <v>92100</v>
          </cell>
          <cell r="P9">
            <v>154549.20000000001</v>
          </cell>
          <cell r="Q9">
            <v>336339.68000000005</v>
          </cell>
          <cell r="R9">
            <v>283692.41000000003</v>
          </cell>
          <cell r="S9">
            <v>378640.18000000005</v>
          </cell>
          <cell r="T9">
            <v>483471.45000000007</v>
          </cell>
          <cell r="U9">
            <v>568274.95000000007</v>
          </cell>
          <cell r="V9">
            <v>648389.1100000001</v>
          </cell>
          <cell r="W9">
            <v>731525.91000000015</v>
          </cell>
          <cell r="X9">
            <v>833600.26000000013</v>
          </cell>
          <cell r="Y9">
            <v>833600.26000000013</v>
          </cell>
          <cell r="Z9">
            <v>833600.26000000013</v>
          </cell>
          <cell r="AA9">
            <v>833600.26000000013</v>
          </cell>
        </row>
        <row r="10">
          <cell r="A10" t="str">
            <v>92200</v>
          </cell>
          <cell r="B10">
            <v>808138.91</v>
          </cell>
          <cell r="C10">
            <v>978397.38</v>
          </cell>
          <cell r="D10">
            <v>1381144</v>
          </cell>
          <cell r="E10">
            <v>1168586.22</v>
          </cell>
          <cell r="F10">
            <v>373605.36</v>
          </cell>
          <cell r="G10">
            <v>887938.18</v>
          </cell>
          <cell r="H10">
            <v>652326.82999999996</v>
          </cell>
          <cell r="I10">
            <v>485790.25</v>
          </cell>
          <cell r="J10">
            <v>856444.17</v>
          </cell>
          <cell r="O10" t="str">
            <v>92200</v>
          </cell>
          <cell r="P10">
            <v>808138.91</v>
          </cell>
          <cell r="Q10">
            <v>1786536.29</v>
          </cell>
          <cell r="R10">
            <v>3167680.29</v>
          </cell>
          <cell r="S10">
            <v>4336266.51</v>
          </cell>
          <cell r="T10">
            <v>4709871.87</v>
          </cell>
          <cell r="U10">
            <v>5597810.0499999998</v>
          </cell>
          <cell r="V10">
            <v>6250136.8799999999</v>
          </cell>
          <cell r="W10">
            <v>6735927.1299999999</v>
          </cell>
          <cell r="X10">
            <v>7592371.2999999998</v>
          </cell>
          <cell r="Y10">
            <v>7592371.2999999998</v>
          </cell>
          <cell r="Z10">
            <v>7592371.2999999998</v>
          </cell>
          <cell r="AA10">
            <v>7592371.2999999998</v>
          </cell>
        </row>
        <row r="11">
          <cell r="A11" t="str">
            <v>92305</v>
          </cell>
          <cell r="C11">
            <v>813.5</v>
          </cell>
          <cell r="D11">
            <v>-300000</v>
          </cell>
          <cell r="G11">
            <v>2325000</v>
          </cell>
          <cell r="H11">
            <v>1666</v>
          </cell>
          <cell r="O11" t="str">
            <v>92305</v>
          </cell>
          <cell r="P11">
            <v>0</v>
          </cell>
          <cell r="Q11">
            <v>813.5</v>
          </cell>
          <cell r="R11">
            <v>-299186.5</v>
          </cell>
          <cell r="S11">
            <v>-299186.5</v>
          </cell>
          <cell r="T11">
            <v>-299186.5</v>
          </cell>
          <cell r="U11">
            <v>2025813.5</v>
          </cell>
          <cell r="V11">
            <v>2027479.5</v>
          </cell>
          <cell r="W11">
            <v>2027479.5</v>
          </cell>
          <cell r="X11">
            <v>2027479.5</v>
          </cell>
          <cell r="Y11">
            <v>2027479.5</v>
          </cell>
          <cell r="Z11">
            <v>2027479.5</v>
          </cell>
          <cell r="AA11">
            <v>2027479.5</v>
          </cell>
        </row>
        <row r="12">
          <cell r="A12" t="str">
            <v>92310</v>
          </cell>
          <cell r="C12">
            <v>-0.16000000000349246</v>
          </cell>
          <cell r="D12">
            <v>767</v>
          </cell>
          <cell r="H12">
            <v>1153</v>
          </cell>
          <cell r="I12">
            <v>83760</v>
          </cell>
          <cell r="J12">
            <v>34276.18</v>
          </cell>
          <cell r="O12" t="str">
            <v>92310</v>
          </cell>
          <cell r="P12">
            <v>0</v>
          </cell>
          <cell r="Q12">
            <v>-0.16000000000349246</v>
          </cell>
          <cell r="R12">
            <v>766.83999999999651</v>
          </cell>
          <cell r="S12">
            <v>766.83999999999651</v>
          </cell>
          <cell r="T12">
            <v>766.83999999999651</v>
          </cell>
          <cell r="U12">
            <v>766.83999999999651</v>
          </cell>
          <cell r="V12">
            <v>1919.8399999999965</v>
          </cell>
          <cell r="W12">
            <v>85679.84</v>
          </cell>
          <cell r="X12">
            <v>119956.01999999999</v>
          </cell>
          <cell r="Y12">
            <v>119956.01999999999</v>
          </cell>
          <cell r="Z12">
            <v>119956.01999999999</v>
          </cell>
          <cell r="AA12">
            <v>119956.01999999999</v>
          </cell>
        </row>
        <row r="13">
          <cell r="A13" t="str">
            <v>92320</v>
          </cell>
          <cell r="G13">
            <v>767.21</v>
          </cell>
          <cell r="J13">
            <v>32395.7</v>
          </cell>
          <cell r="O13" t="str">
            <v>92320</v>
          </cell>
          <cell r="P13">
            <v>0</v>
          </cell>
          <cell r="Q13">
            <v>0</v>
          </cell>
          <cell r="R13">
            <v>0</v>
          </cell>
          <cell r="S13">
            <v>0</v>
          </cell>
          <cell r="T13">
            <v>0</v>
          </cell>
          <cell r="U13">
            <v>767.21</v>
          </cell>
          <cell r="V13">
            <v>767.21</v>
          </cell>
          <cell r="W13">
            <v>767.21</v>
          </cell>
          <cell r="X13">
            <v>33162.910000000003</v>
          </cell>
          <cell r="Y13">
            <v>33162.910000000003</v>
          </cell>
          <cell r="Z13">
            <v>33162.910000000003</v>
          </cell>
          <cell r="AA13">
            <v>33162.910000000003</v>
          </cell>
        </row>
        <row r="14">
          <cell r="A14" t="str">
            <v>92325</v>
          </cell>
          <cell r="B14">
            <v>2310</v>
          </cell>
          <cell r="C14">
            <v>1970</v>
          </cell>
          <cell r="D14">
            <v>5995.72</v>
          </cell>
          <cell r="E14">
            <v>11770</v>
          </cell>
          <cell r="F14">
            <v>30554</v>
          </cell>
          <cell r="G14">
            <v>44286.95</v>
          </cell>
          <cell r="H14">
            <v>86700</v>
          </cell>
          <cell r="I14">
            <v>162097.73000000001</v>
          </cell>
          <cell r="J14">
            <v>163630.28</v>
          </cell>
          <cell r="O14" t="str">
            <v>92325</v>
          </cell>
          <cell r="P14">
            <v>2310</v>
          </cell>
          <cell r="Q14">
            <v>4280</v>
          </cell>
          <cell r="R14">
            <v>10275.720000000001</v>
          </cell>
          <cell r="S14">
            <v>22045.72</v>
          </cell>
          <cell r="T14">
            <v>52599.72</v>
          </cell>
          <cell r="U14">
            <v>96886.67</v>
          </cell>
          <cell r="V14">
            <v>183586.66999999998</v>
          </cell>
          <cell r="W14">
            <v>345684.4</v>
          </cell>
          <cell r="X14">
            <v>509314.68000000005</v>
          </cell>
          <cell r="Y14">
            <v>509314.68000000005</v>
          </cell>
          <cell r="Z14">
            <v>509314.68000000005</v>
          </cell>
          <cell r="AA14">
            <v>509314.68000000005</v>
          </cell>
        </row>
        <row r="15">
          <cell r="A15" t="str">
            <v>92330</v>
          </cell>
          <cell r="F15">
            <v>1942.25</v>
          </cell>
          <cell r="O15" t="str">
            <v>92330</v>
          </cell>
          <cell r="P15">
            <v>0</v>
          </cell>
          <cell r="Q15">
            <v>0</v>
          </cell>
          <cell r="R15">
            <v>0</v>
          </cell>
          <cell r="S15">
            <v>0</v>
          </cell>
          <cell r="T15">
            <v>1942.25</v>
          </cell>
          <cell r="U15">
            <v>1942.25</v>
          </cell>
          <cell r="V15">
            <v>1942.25</v>
          </cell>
          <cell r="W15">
            <v>1942.25</v>
          </cell>
          <cell r="X15">
            <v>1942.25</v>
          </cell>
          <cell r="Y15">
            <v>1942.25</v>
          </cell>
          <cell r="Z15">
            <v>1942.25</v>
          </cell>
          <cell r="AA15">
            <v>1942.25</v>
          </cell>
        </row>
        <row r="16">
          <cell r="A16" t="str">
            <v>92335</v>
          </cell>
          <cell r="D16">
            <v>55633.68</v>
          </cell>
          <cell r="E16">
            <v>1743.93</v>
          </cell>
          <cell r="O16" t="str">
            <v>92335</v>
          </cell>
          <cell r="P16">
            <v>0</v>
          </cell>
          <cell r="Q16">
            <v>0</v>
          </cell>
          <cell r="R16">
            <v>55633.68</v>
          </cell>
          <cell r="S16">
            <v>57377.61</v>
          </cell>
          <cell r="T16">
            <v>57377.61</v>
          </cell>
          <cell r="U16">
            <v>57377.61</v>
          </cell>
          <cell r="V16">
            <v>57377.61</v>
          </cell>
          <cell r="W16">
            <v>57377.61</v>
          </cell>
          <cell r="X16">
            <v>57377.61</v>
          </cell>
          <cell r="Y16">
            <v>57377.61</v>
          </cell>
          <cell r="Z16">
            <v>57377.61</v>
          </cell>
          <cell r="AA16">
            <v>57377.61</v>
          </cell>
        </row>
        <row r="17">
          <cell r="A17" t="str">
            <v>92340</v>
          </cell>
          <cell r="C17">
            <v>64</v>
          </cell>
          <cell r="O17" t="str">
            <v>92340</v>
          </cell>
          <cell r="P17">
            <v>0</v>
          </cell>
          <cell r="Q17">
            <v>64</v>
          </cell>
          <cell r="R17">
            <v>64</v>
          </cell>
          <cell r="S17">
            <v>64</v>
          </cell>
          <cell r="T17">
            <v>64</v>
          </cell>
          <cell r="U17">
            <v>64</v>
          </cell>
          <cell r="V17">
            <v>64</v>
          </cell>
          <cell r="W17">
            <v>64</v>
          </cell>
          <cell r="X17">
            <v>64</v>
          </cell>
          <cell r="Y17">
            <v>64</v>
          </cell>
          <cell r="Z17">
            <v>64</v>
          </cell>
          <cell r="AA17">
            <v>64</v>
          </cell>
        </row>
        <row r="18">
          <cell r="A18" t="str">
            <v>92350</v>
          </cell>
          <cell r="F18">
            <v>258</v>
          </cell>
          <cell r="G18">
            <v>140</v>
          </cell>
          <cell r="O18" t="str">
            <v>92350</v>
          </cell>
          <cell r="P18">
            <v>0</v>
          </cell>
          <cell r="Q18">
            <v>0</v>
          </cell>
          <cell r="R18">
            <v>0</v>
          </cell>
          <cell r="S18">
            <v>0</v>
          </cell>
          <cell r="T18">
            <v>258</v>
          </cell>
          <cell r="U18">
            <v>398</v>
          </cell>
          <cell r="V18">
            <v>398</v>
          </cell>
          <cell r="W18">
            <v>398</v>
          </cell>
          <cell r="X18">
            <v>398</v>
          </cell>
          <cell r="Y18">
            <v>398</v>
          </cell>
          <cell r="Z18">
            <v>398</v>
          </cell>
          <cell r="AA18">
            <v>398</v>
          </cell>
        </row>
        <row r="19">
          <cell r="A19" t="str">
            <v>92355</v>
          </cell>
          <cell r="C19">
            <v>2995.3499999999767</v>
          </cell>
          <cell r="D19">
            <v>4280.38</v>
          </cell>
          <cell r="E19">
            <v>88460.32</v>
          </cell>
          <cell r="F19">
            <v>22633.599999999999</v>
          </cell>
          <cell r="G19">
            <v>276.91000000000003</v>
          </cell>
          <cell r="H19">
            <v>464.1</v>
          </cell>
          <cell r="O19" t="str">
            <v>92355</v>
          </cell>
          <cell r="P19">
            <v>0</v>
          </cell>
          <cell r="Q19">
            <v>2995.3499999999767</v>
          </cell>
          <cell r="R19">
            <v>7275.7299999999768</v>
          </cell>
          <cell r="S19">
            <v>95736.049999999988</v>
          </cell>
          <cell r="T19">
            <v>118369.65</v>
          </cell>
          <cell r="U19">
            <v>118646.56</v>
          </cell>
          <cell r="V19">
            <v>119110.66</v>
          </cell>
          <cell r="W19">
            <v>119110.66</v>
          </cell>
          <cell r="X19">
            <v>119110.66</v>
          </cell>
          <cell r="Y19">
            <v>119110.66</v>
          </cell>
          <cell r="Z19">
            <v>119110.66</v>
          </cell>
          <cell r="AA19">
            <v>119110.66</v>
          </cell>
        </row>
        <row r="20">
          <cell r="A20" t="str">
            <v>92360</v>
          </cell>
          <cell r="C20">
            <v>784.68</v>
          </cell>
          <cell r="O20" t="str">
            <v>92360</v>
          </cell>
          <cell r="P20">
            <v>0</v>
          </cell>
          <cell r="Q20">
            <v>784.68</v>
          </cell>
          <cell r="R20">
            <v>784.68</v>
          </cell>
          <cell r="S20">
            <v>784.68</v>
          </cell>
          <cell r="T20">
            <v>784.68</v>
          </cell>
          <cell r="U20">
            <v>784.68</v>
          </cell>
          <cell r="V20">
            <v>784.68</v>
          </cell>
          <cell r="W20">
            <v>784.68</v>
          </cell>
          <cell r="X20">
            <v>784.68</v>
          </cell>
          <cell r="Y20">
            <v>784.68</v>
          </cell>
          <cell r="Z20">
            <v>784.68</v>
          </cell>
          <cell r="AA20">
            <v>784.68</v>
          </cell>
        </row>
        <row r="21">
          <cell r="A21" t="str">
            <v>92365</v>
          </cell>
          <cell r="J21">
            <v>0</v>
          </cell>
          <cell r="O21" t="str">
            <v>92365</v>
          </cell>
          <cell r="P21">
            <v>0</v>
          </cell>
          <cell r="Q21">
            <v>0</v>
          </cell>
          <cell r="R21">
            <v>0</v>
          </cell>
          <cell r="S21">
            <v>0</v>
          </cell>
          <cell r="T21">
            <v>0</v>
          </cell>
          <cell r="U21">
            <v>0</v>
          </cell>
          <cell r="V21">
            <v>0</v>
          </cell>
          <cell r="W21">
            <v>0</v>
          </cell>
          <cell r="X21">
            <v>0</v>
          </cell>
          <cell r="Y21">
            <v>0</v>
          </cell>
          <cell r="Z21">
            <v>0</v>
          </cell>
          <cell r="AA21">
            <v>0</v>
          </cell>
        </row>
        <row r="22">
          <cell r="A22" t="str">
            <v>92370</v>
          </cell>
          <cell r="C22">
            <v>5334</v>
          </cell>
          <cell r="D22">
            <v>0</v>
          </cell>
          <cell r="I22">
            <v>406.5</v>
          </cell>
          <cell r="O22" t="str">
            <v>92370</v>
          </cell>
          <cell r="P22">
            <v>0</v>
          </cell>
          <cell r="Q22">
            <v>5334</v>
          </cell>
          <cell r="R22">
            <v>5334</v>
          </cell>
          <cell r="S22">
            <v>5334</v>
          </cell>
          <cell r="T22">
            <v>5334</v>
          </cell>
          <cell r="U22">
            <v>5334</v>
          </cell>
          <cell r="V22">
            <v>5334</v>
          </cell>
          <cell r="W22">
            <v>5740.5</v>
          </cell>
          <cell r="X22">
            <v>5740.5</v>
          </cell>
          <cell r="Y22">
            <v>5740.5</v>
          </cell>
          <cell r="Z22">
            <v>5740.5</v>
          </cell>
          <cell r="AA22">
            <v>5740.5</v>
          </cell>
        </row>
        <row r="23">
          <cell r="A23" t="str">
            <v>92375</v>
          </cell>
          <cell r="C23">
            <v>5069.76</v>
          </cell>
          <cell r="D23">
            <v>863.71</v>
          </cell>
          <cell r="F23">
            <v>4700.6499999999996</v>
          </cell>
          <cell r="H23">
            <v>101.82</v>
          </cell>
          <cell r="O23" t="str">
            <v>92375</v>
          </cell>
          <cell r="P23">
            <v>0</v>
          </cell>
          <cell r="Q23">
            <v>5069.76</v>
          </cell>
          <cell r="R23">
            <v>5933.47</v>
          </cell>
          <cell r="S23">
            <v>5933.47</v>
          </cell>
          <cell r="T23">
            <v>10634.119999999999</v>
          </cell>
          <cell r="U23">
            <v>10634.119999999999</v>
          </cell>
          <cell r="V23">
            <v>10735.939999999999</v>
          </cell>
          <cell r="W23">
            <v>10735.939999999999</v>
          </cell>
          <cell r="X23">
            <v>10735.939999999999</v>
          </cell>
          <cell r="Y23">
            <v>10735.939999999999</v>
          </cell>
          <cell r="Z23">
            <v>10735.939999999999</v>
          </cell>
          <cell r="AA23">
            <v>10735.939999999999</v>
          </cell>
        </row>
        <row r="24">
          <cell r="A24" t="str">
            <v>92387</v>
          </cell>
          <cell r="G24">
            <v>12181.01</v>
          </cell>
          <cell r="J24">
            <v>1330</v>
          </cell>
          <cell r="O24" t="str">
            <v>92387</v>
          </cell>
          <cell r="P24">
            <v>0</v>
          </cell>
          <cell r="Q24">
            <v>0</v>
          </cell>
          <cell r="R24">
            <v>0</v>
          </cell>
          <cell r="S24">
            <v>0</v>
          </cell>
          <cell r="T24">
            <v>0</v>
          </cell>
          <cell r="U24">
            <v>12181.01</v>
          </cell>
          <cell r="V24">
            <v>12181.01</v>
          </cell>
          <cell r="W24">
            <v>12181.01</v>
          </cell>
          <cell r="X24">
            <v>13511.01</v>
          </cell>
          <cell r="Y24">
            <v>13511.01</v>
          </cell>
          <cell r="Z24">
            <v>13511.01</v>
          </cell>
          <cell r="AA24">
            <v>13511.01</v>
          </cell>
        </row>
        <row r="25">
          <cell r="A25" t="str">
            <v>92390</v>
          </cell>
          <cell r="B25">
            <v>67167.44</v>
          </cell>
          <cell r="C25">
            <v>58636.98</v>
          </cell>
          <cell r="D25">
            <v>232738</v>
          </cell>
          <cell r="E25">
            <v>29266.03</v>
          </cell>
          <cell r="F25">
            <v>330.5</v>
          </cell>
          <cell r="H25">
            <v>1764.53</v>
          </cell>
          <cell r="I25">
            <v>87348.58</v>
          </cell>
          <cell r="J25">
            <v>17985.02</v>
          </cell>
          <cell r="O25" t="str">
            <v>92390</v>
          </cell>
          <cell r="P25">
            <v>67167.44</v>
          </cell>
          <cell r="Q25">
            <v>125804.42000000001</v>
          </cell>
          <cell r="R25">
            <v>358542.42000000004</v>
          </cell>
          <cell r="S25">
            <v>387808.45000000007</v>
          </cell>
          <cell r="T25">
            <v>388138.95000000007</v>
          </cell>
          <cell r="U25">
            <v>388138.95000000007</v>
          </cell>
          <cell r="V25">
            <v>389903.4800000001</v>
          </cell>
          <cell r="W25">
            <v>477252.06000000011</v>
          </cell>
          <cell r="X25">
            <v>495237.08000000013</v>
          </cell>
          <cell r="Y25">
            <v>495237.08000000013</v>
          </cell>
          <cell r="Z25">
            <v>495237.08000000013</v>
          </cell>
          <cell r="AA25">
            <v>495237.08000000013</v>
          </cell>
        </row>
        <row r="26">
          <cell r="A26" t="str">
            <v>92395</v>
          </cell>
          <cell r="D26">
            <v>494</v>
          </cell>
          <cell r="E26">
            <v>655.35</v>
          </cell>
          <cell r="H26">
            <v>666.4</v>
          </cell>
          <cell r="O26" t="str">
            <v>92395</v>
          </cell>
          <cell r="P26">
            <v>0</v>
          </cell>
          <cell r="Q26">
            <v>0</v>
          </cell>
          <cell r="R26">
            <v>494</v>
          </cell>
          <cell r="S26">
            <v>1149.3499999999999</v>
          </cell>
          <cell r="T26">
            <v>1149.3499999999999</v>
          </cell>
          <cell r="U26">
            <v>1149.3499999999999</v>
          </cell>
          <cell r="V26">
            <v>1815.75</v>
          </cell>
          <cell r="W26">
            <v>1815.75</v>
          </cell>
          <cell r="X26">
            <v>1815.75</v>
          </cell>
          <cell r="Y26">
            <v>1815.75</v>
          </cell>
          <cell r="Z26">
            <v>1815.75</v>
          </cell>
          <cell r="AA26">
            <v>1815.75</v>
          </cell>
        </row>
        <row r="27">
          <cell r="A27" t="str">
            <v>93000</v>
          </cell>
          <cell r="B27">
            <v>148262.76999999999</v>
          </cell>
          <cell r="C27">
            <v>230750.43</v>
          </cell>
          <cell r="D27">
            <v>250927.11</v>
          </cell>
          <cell r="E27">
            <v>250453.09</v>
          </cell>
          <cell r="F27">
            <v>163469.38</v>
          </cell>
          <cell r="G27">
            <v>218457.27</v>
          </cell>
          <cell r="H27">
            <v>210941.85</v>
          </cell>
          <cell r="I27">
            <v>144187.63</v>
          </cell>
          <cell r="J27">
            <v>221217.87</v>
          </cell>
          <cell r="O27" t="str">
            <v>93000</v>
          </cell>
          <cell r="P27">
            <v>148262.76999999999</v>
          </cell>
          <cell r="Q27">
            <v>379013.19999999995</v>
          </cell>
          <cell r="R27">
            <v>629940.30999999994</v>
          </cell>
          <cell r="S27">
            <v>880393.39999999991</v>
          </cell>
          <cell r="T27">
            <v>1043862.7799999999</v>
          </cell>
          <cell r="U27">
            <v>1262320.0499999998</v>
          </cell>
          <cell r="V27">
            <v>1473261.9</v>
          </cell>
          <cell r="W27">
            <v>1617449.5299999998</v>
          </cell>
          <cell r="X27">
            <v>1838667.4</v>
          </cell>
          <cell r="Y27">
            <v>1838667.4</v>
          </cell>
          <cell r="Z27">
            <v>1838667.4</v>
          </cell>
          <cell r="AA27">
            <v>1838667.4</v>
          </cell>
        </row>
        <row r="28">
          <cell r="A28" t="str">
            <v>93110</v>
          </cell>
          <cell r="B28">
            <v>838111.01</v>
          </cell>
          <cell r="C28">
            <v>-350432.81</v>
          </cell>
          <cell r="D28">
            <v>275632.12</v>
          </cell>
          <cell r="E28">
            <v>316121.59999999998</v>
          </cell>
          <cell r="F28">
            <v>246404.74</v>
          </cell>
          <cell r="G28">
            <v>179780.08</v>
          </cell>
          <cell r="H28">
            <v>179511.45</v>
          </cell>
          <cell r="I28">
            <v>266467.59000000003</v>
          </cell>
          <cell r="J28">
            <v>253212.84</v>
          </cell>
          <cell r="O28" t="str">
            <v>93110</v>
          </cell>
          <cell r="P28">
            <v>838111.01</v>
          </cell>
          <cell r="Q28">
            <v>487678.2</v>
          </cell>
          <cell r="R28">
            <v>763310.32000000007</v>
          </cell>
          <cell r="S28">
            <v>1079431.92</v>
          </cell>
          <cell r="T28">
            <v>1325836.6599999999</v>
          </cell>
          <cell r="U28">
            <v>1505616.74</v>
          </cell>
          <cell r="V28">
            <v>1685128.19</v>
          </cell>
          <cell r="W28">
            <v>1951595.78</v>
          </cell>
          <cell r="X28">
            <v>2204808.62</v>
          </cell>
          <cell r="Y28">
            <v>2204808.62</v>
          </cell>
          <cell r="Z28">
            <v>2204808.62</v>
          </cell>
          <cell r="AA28">
            <v>2204808.62</v>
          </cell>
        </row>
        <row r="29">
          <cell r="A29" t="str">
            <v>93120</v>
          </cell>
          <cell r="B29">
            <v>35616.31</v>
          </cell>
          <cell r="C29">
            <v>437094.41</v>
          </cell>
          <cell r="D29">
            <v>147177.75</v>
          </cell>
          <cell r="E29">
            <v>250063.59</v>
          </cell>
          <cell r="F29">
            <v>234113.01</v>
          </cell>
          <cell r="G29">
            <v>207419.15</v>
          </cell>
          <cell r="H29">
            <v>153930.07999999999</v>
          </cell>
          <cell r="I29">
            <v>281520.03000000003</v>
          </cell>
          <cell r="J29">
            <v>246177.5</v>
          </cell>
          <cell r="O29" t="str">
            <v>93120</v>
          </cell>
          <cell r="P29">
            <v>35616.31</v>
          </cell>
          <cell r="Q29">
            <v>472710.72</v>
          </cell>
          <cell r="R29">
            <v>619888.47</v>
          </cell>
          <cell r="S29">
            <v>869952.05999999994</v>
          </cell>
          <cell r="T29">
            <v>1104065.0699999998</v>
          </cell>
          <cell r="U29">
            <v>1311484.2199999997</v>
          </cell>
          <cell r="V29">
            <v>1465414.2999999998</v>
          </cell>
          <cell r="W29">
            <v>1746934.3299999998</v>
          </cell>
          <cell r="X29">
            <v>1993111.8299999998</v>
          </cell>
          <cell r="Y29">
            <v>1993111.8299999998</v>
          </cell>
          <cell r="Z29">
            <v>1993111.8299999998</v>
          </cell>
          <cell r="AA29">
            <v>1993111.8299999998</v>
          </cell>
        </row>
        <row r="30">
          <cell r="A30" t="str">
            <v>93130</v>
          </cell>
          <cell r="B30">
            <v>402161.65</v>
          </cell>
          <cell r="C30">
            <v>316456.31</v>
          </cell>
          <cell r="D30">
            <v>255215.4</v>
          </cell>
          <cell r="E30">
            <v>331939.51</v>
          </cell>
          <cell r="F30">
            <v>319634.78999999998</v>
          </cell>
          <cell r="G30">
            <v>220350.23</v>
          </cell>
          <cell r="H30">
            <v>217547.94</v>
          </cell>
          <cell r="I30">
            <v>301201.89</v>
          </cell>
          <cell r="J30">
            <v>336939.35</v>
          </cell>
          <cell r="O30" t="str">
            <v>93130</v>
          </cell>
          <cell r="P30">
            <v>402161.65</v>
          </cell>
          <cell r="Q30">
            <v>718617.96</v>
          </cell>
          <cell r="R30">
            <v>973833.36</v>
          </cell>
          <cell r="S30">
            <v>1305772.8700000001</v>
          </cell>
          <cell r="T30">
            <v>1625407.6600000001</v>
          </cell>
          <cell r="U30">
            <v>1845757.8900000001</v>
          </cell>
          <cell r="V30">
            <v>2063305.83</v>
          </cell>
          <cell r="W30">
            <v>2364507.7200000002</v>
          </cell>
          <cell r="X30">
            <v>2701447.0700000003</v>
          </cell>
          <cell r="Y30">
            <v>2701447.0700000003</v>
          </cell>
          <cell r="Z30">
            <v>2701447.0700000003</v>
          </cell>
          <cell r="AA30">
            <v>2701447.0700000003</v>
          </cell>
        </row>
        <row r="31">
          <cell r="A31" t="str">
            <v>93150</v>
          </cell>
          <cell r="B31">
            <v>40482.629999999997</v>
          </cell>
          <cell r="C31">
            <v>174544.55</v>
          </cell>
          <cell r="D31">
            <v>144281.84</v>
          </cell>
          <cell r="E31">
            <v>9173.06</v>
          </cell>
          <cell r="F31">
            <v>107321.3</v>
          </cell>
          <cell r="G31">
            <v>68657.23</v>
          </cell>
          <cell r="H31">
            <v>100005.52</v>
          </cell>
          <cell r="I31">
            <v>120258.91</v>
          </cell>
          <cell r="J31">
            <v>121412.44</v>
          </cell>
          <cell r="O31" t="str">
            <v>93150</v>
          </cell>
          <cell r="P31">
            <v>40482.629999999997</v>
          </cell>
          <cell r="Q31">
            <v>215027.18</v>
          </cell>
          <cell r="R31">
            <v>359309.02</v>
          </cell>
          <cell r="S31">
            <v>368482.08</v>
          </cell>
          <cell r="T31">
            <v>475803.38</v>
          </cell>
          <cell r="U31">
            <v>544460.61</v>
          </cell>
          <cell r="V31">
            <v>644466.13</v>
          </cell>
          <cell r="W31">
            <v>764725.04</v>
          </cell>
          <cell r="X31">
            <v>886137.48</v>
          </cell>
          <cell r="Y31">
            <v>886137.48</v>
          </cell>
          <cell r="Z31">
            <v>886137.48</v>
          </cell>
          <cell r="AA31">
            <v>886137.48</v>
          </cell>
        </row>
        <row r="32">
          <cell r="A32" t="str">
            <v>93200</v>
          </cell>
          <cell r="B32">
            <v>466430.75</v>
          </cell>
          <cell r="C32">
            <v>632403.06999999995</v>
          </cell>
          <cell r="D32">
            <v>534486.89</v>
          </cell>
          <cell r="E32">
            <v>607306.52</v>
          </cell>
          <cell r="F32">
            <v>549195.06999999995</v>
          </cell>
          <cell r="G32">
            <v>462982.16</v>
          </cell>
          <cell r="H32">
            <v>328035.63</v>
          </cell>
          <cell r="I32">
            <v>571094.92000000004</v>
          </cell>
          <cell r="J32">
            <v>615783.69999999995</v>
          </cell>
          <cell r="O32" t="str">
            <v>93200</v>
          </cell>
          <cell r="P32">
            <v>466430.75</v>
          </cell>
          <cell r="Q32">
            <v>1098833.8199999998</v>
          </cell>
          <cell r="R32">
            <v>1633320.71</v>
          </cell>
          <cell r="S32">
            <v>2240627.23</v>
          </cell>
          <cell r="T32">
            <v>2789822.3</v>
          </cell>
          <cell r="U32">
            <v>3252804.46</v>
          </cell>
          <cell r="V32">
            <v>3580840.09</v>
          </cell>
          <cell r="W32">
            <v>4151935.01</v>
          </cell>
          <cell r="X32">
            <v>4767718.71</v>
          </cell>
          <cell r="Y32">
            <v>4767718.71</v>
          </cell>
          <cell r="Z32">
            <v>4767718.71</v>
          </cell>
          <cell r="AA32">
            <v>4767718.71</v>
          </cell>
        </row>
        <row r="33">
          <cell r="A33" t="str">
            <v>93300</v>
          </cell>
          <cell r="B33">
            <v>318087.92</v>
          </cell>
          <cell r="C33">
            <v>399476.15</v>
          </cell>
          <cell r="D33">
            <v>423306.91</v>
          </cell>
          <cell r="E33">
            <v>418291.79</v>
          </cell>
          <cell r="F33">
            <v>353357.96</v>
          </cell>
          <cell r="G33">
            <v>384061.18</v>
          </cell>
          <cell r="H33">
            <v>258426.69</v>
          </cell>
          <cell r="I33">
            <v>385136.55</v>
          </cell>
          <cell r="J33">
            <v>434136.87</v>
          </cell>
          <cell r="O33" t="str">
            <v>93300</v>
          </cell>
          <cell r="P33">
            <v>318087.92</v>
          </cell>
          <cell r="Q33">
            <v>717564.07000000007</v>
          </cell>
          <cell r="R33">
            <v>1140870.98</v>
          </cell>
          <cell r="S33">
            <v>1559162.77</v>
          </cell>
          <cell r="T33">
            <v>1912520.73</v>
          </cell>
          <cell r="U33">
            <v>2296581.91</v>
          </cell>
          <cell r="V33">
            <v>2555008.6</v>
          </cell>
          <cell r="W33">
            <v>2940145.15</v>
          </cell>
          <cell r="X33">
            <v>3374282.02</v>
          </cell>
          <cell r="Y33">
            <v>3374282.02</v>
          </cell>
          <cell r="Z33">
            <v>3374282.02</v>
          </cell>
          <cell r="AA33">
            <v>3374282.02</v>
          </cell>
        </row>
        <row r="34">
          <cell r="A34" t="str">
            <v>93400</v>
          </cell>
          <cell r="B34">
            <v>166675.70000000001</v>
          </cell>
          <cell r="C34">
            <v>884139.99</v>
          </cell>
          <cell r="D34">
            <v>446130.11</v>
          </cell>
          <cell r="E34">
            <v>350469.27</v>
          </cell>
          <cell r="F34">
            <v>414043.75</v>
          </cell>
          <cell r="G34">
            <v>479006.54</v>
          </cell>
          <cell r="H34">
            <v>396794.95</v>
          </cell>
          <cell r="I34">
            <v>494917.31</v>
          </cell>
          <cell r="J34">
            <v>410201.34</v>
          </cell>
          <cell r="O34" t="str">
            <v>93400</v>
          </cell>
          <cell r="P34">
            <v>166675.70000000001</v>
          </cell>
          <cell r="Q34">
            <v>1050815.69</v>
          </cell>
          <cell r="R34">
            <v>1496945.7999999998</v>
          </cell>
          <cell r="S34">
            <v>1847415.0699999998</v>
          </cell>
          <cell r="T34">
            <v>2261458.8199999998</v>
          </cell>
          <cell r="U34">
            <v>2740465.36</v>
          </cell>
          <cell r="V34">
            <v>3137260.31</v>
          </cell>
          <cell r="W34">
            <v>3632177.62</v>
          </cell>
          <cell r="X34">
            <v>4042378.96</v>
          </cell>
          <cell r="Y34">
            <v>4042378.96</v>
          </cell>
          <cell r="Z34">
            <v>4042378.96</v>
          </cell>
          <cell r="AA34">
            <v>4042378.96</v>
          </cell>
        </row>
        <row r="35">
          <cell r="A35" t="str">
            <v>93500</v>
          </cell>
          <cell r="B35">
            <v>574802.68000000005</v>
          </cell>
          <cell r="C35">
            <v>56956.49</v>
          </cell>
          <cell r="D35">
            <v>187665.51</v>
          </cell>
          <cell r="E35">
            <v>448583.7</v>
          </cell>
          <cell r="F35">
            <v>967807.07</v>
          </cell>
          <cell r="G35">
            <v>86891.040000000066</v>
          </cell>
          <cell r="H35">
            <v>980962.6</v>
          </cell>
          <cell r="I35">
            <v>473239.34</v>
          </cell>
          <cell r="J35">
            <v>544567.19999999995</v>
          </cell>
          <cell r="O35" t="str">
            <v>93500</v>
          </cell>
          <cell r="P35">
            <v>574802.68000000005</v>
          </cell>
          <cell r="Q35">
            <v>631759.17000000004</v>
          </cell>
          <cell r="R35">
            <v>819424.68</v>
          </cell>
          <cell r="S35">
            <v>1268008.3800000001</v>
          </cell>
          <cell r="T35">
            <v>2235815.4500000002</v>
          </cell>
          <cell r="U35">
            <v>2322706.4900000002</v>
          </cell>
          <cell r="V35">
            <v>3303669.0900000003</v>
          </cell>
          <cell r="W35">
            <v>3776908.43</v>
          </cell>
          <cell r="X35">
            <v>4321475.63</v>
          </cell>
          <cell r="Y35">
            <v>4321475.63</v>
          </cell>
          <cell r="Z35">
            <v>4321475.63</v>
          </cell>
          <cell r="AA35">
            <v>4321475.63</v>
          </cell>
        </row>
        <row r="36">
          <cell r="A36" t="str">
            <v>93550</v>
          </cell>
          <cell r="B36">
            <v>775470.37</v>
          </cell>
          <cell r="C36">
            <v>660106.03</v>
          </cell>
          <cell r="D36">
            <v>677748.4</v>
          </cell>
          <cell r="E36">
            <v>801176.83</v>
          </cell>
          <cell r="F36">
            <v>735927.51</v>
          </cell>
          <cell r="G36">
            <v>547091.32999999996</v>
          </cell>
          <cell r="H36">
            <v>858161.08</v>
          </cell>
          <cell r="I36">
            <v>625363.65</v>
          </cell>
          <cell r="J36">
            <v>715900.49</v>
          </cell>
          <cell r="O36" t="str">
            <v>93550</v>
          </cell>
          <cell r="P36">
            <v>775470.37</v>
          </cell>
          <cell r="Q36">
            <v>1435576.4</v>
          </cell>
          <cell r="R36">
            <v>2113324.7999999998</v>
          </cell>
          <cell r="S36">
            <v>2914501.63</v>
          </cell>
          <cell r="T36">
            <v>3650429.1399999997</v>
          </cell>
          <cell r="U36">
            <v>4197520.47</v>
          </cell>
          <cell r="V36">
            <v>5055681.55</v>
          </cell>
          <cell r="W36">
            <v>5681045.2000000002</v>
          </cell>
          <cell r="X36">
            <v>6396945.6900000004</v>
          </cell>
          <cell r="Y36">
            <v>6396945.6900000004</v>
          </cell>
          <cell r="Z36">
            <v>6396945.6900000004</v>
          </cell>
          <cell r="AA36">
            <v>6396945.6900000004</v>
          </cell>
        </row>
        <row r="37">
          <cell r="A37" t="str">
            <v>93600</v>
          </cell>
          <cell r="B37">
            <v>1218911.99</v>
          </cell>
          <cell r="C37">
            <v>1194422.7</v>
          </cell>
          <cell r="D37">
            <v>1061550.6100000001</v>
          </cell>
          <cell r="E37">
            <v>1060979.99</v>
          </cell>
          <cell r="F37">
            <v>1203023.8600000001</v>
          </cell>
          <cell r="G37">
            <v>1165314.1499999999</v>
          </cell>
          <cell r="H37">
            <v>1165579.3899999999</v>
          </cell>
          <cell r="I37">
            <v>1294197.93</v>
          </cell>
          <cell r="J37">
            <v>1133771.8</v>
          </cell>
          <cell r="O37" t="str">
            <v>93600</v>
          </cell>
          <cell r="P37">
            <v>1218911.99</v>
          </cell>
          <cell r="Q37">
            <v>2413334.69</v>
          </cell>
          <cell r="R37">
            <v>3474885.3</v>
          </cell>
          <cell r="S37">
            <v>4535865.29</v>
          </cell>
          <cell r="T37">
            <v>5738889.1500000004</v>
          </cell>
          <cell r="U37">
            <v>6904203.3000000007</v>
          </cell>
          <cell r="V37">
            <v>8069782.6900000004</v>
          </cell>
          <cell r="W37">
            <v>9363980.620000001</v>
          </cell>
          <cell r="X37">
            <v>10497752.420000002</v>
          </cell>
          <cell r="Y37">
            <v>10497752.420000002</v>
          </cell>
          <cell r="Z37">
            <v>10497752.420000002</v>
          </cell>
          <cell r="AA37">
            <v>10497752.420000002</v>
          </cell>
        </row>
        <row r="38">
          <cell r="A38" t="str">
            <v>93650</v>
          </cell>
          <cell r="B38">
            <v>2358279.0499999998</v>
          </cell>
          <cell r="C38">
            <v>1683877.04</v>
          </cell>
          <cell r="D38">
            <v>2202545.4700000002</v>
          </cell>
          <cell r="E38">
            <v>2226436.61</v>
          </cell>
          <cell r="F38">
            <v>1716917.06</v>
          </cell>
          <cell r="G38">
            <v>3140712.33</v>
          </cell>
          <cell r="H38">
            <v>2456515.4700000002</v>
          </cell>
          <cell r="I38">
            <v>2209956.81</v>
          </cell>
          <cell r="J38">
            <v>5419539.0000000019</v>
          </cell>
          <cell r="O38" t="str">
            <v>93650</v>
          </cell>
          <cell r="P38">
            <v>2358279.0499999998</v>
          </cell>
          <cell r="Q38">
            <v>4042156.09</v>
          </cell>
          <cell r="R38">
            <v>6244701.5600000005</v>
          </cell>
          <cell r="S38">
            <v>8471138.1699999999</v>
          </cell>
          <cell r="T38">
            <v>10188055.23</v>
          </cell>
          <cell r="U38">
            <v>13328767.560000001</v>
          </cell>
          <cell r="V38">
            <v>15785283.030000001</v>
          </cell>
          <cell r="W38">
            <v>17995239.84</v>
          </cell>
          <cell r="X38">
            <v>23414778.840000004</v>
          </cell>
          <cell r="Y38">
            <v>23414778.840000004</v>
          </cell>
          <cell r="Z38">
            <v>23414778.840000004</v>
          </cell>
          <cell r="AA38">
            <v>23414778.840000004</v>
          </cell>
        </row>
        <row r="39">
          <cell r="A39" t="str">
            <v>93700</v>
          </cell>
          <cell r="B39">
            <v>727319.35</v>
          </cell>
          <cell r="C39">
            <v>438319.41</v>
          </cell>
          <cell r="D39">
            <v>780954.1</v>
          </cell>
          <cell r="E39">
            <v>671152.48</v>
          </cell>
          <cell r="F39">
            <v>670773.32999999996</v>
          </cell>
          <cell r="G39">
            <v>669424.89</v>
          </cell>
          <cell r="H39">
            <v>532002.03</v>
          </cell>
          <cell r="I39">
            <v>598141.31000000006</v>
          </cell>
          <cell r="J39">
            <v>678485.71</v>
          </cell>
          <cell r="O39" t="str">
            <v>93700</v>
          </cell>
          <cell r="P39">
            <v>727319.35</v>
          </cell>
          <cell r="Q39">
            <v>1165638.76</v>
          </cell>
          <cell r="R39">
            <v>1946592.8599999999</v>
          </cell>
          <cell r="S39">
            <v>2617745.34</v>
          </cell>
          <cell r="T39">
            <v>3288518.67</v>
          </cell>
          <cell r="U39">
            <v>3957943.56</v>
          </cell>
          <cell r="V39">
            <v>4489945.59</v>
          </cell>
          <cell r="W39">
            <v>5088086.9000000004</v>
          </cell>
          <cell r="X39">
            <v>5766572.6100000003</v>
          </cell>
          <cell r="Y39">
            <v>5766572.6100000003</v>
          </cell>
          <cell r="Z39">
            <v>5766572.6100000003</v>
          </cell>
          <cell r="AA39">
            <v>5766572.6100000003</v>
          </cell>
        </row>
        <row r="40">
          <cell r="A40" t="str">
            <v>93750</v>
          </cell>
          <cell r="B40">
            <v>1111973.77</v>
          </cell>
          <cell r="C40">
            <v>1498143.25</v>
          </cell>
          <cell r="D40">
            <v>999781.04</v>
          </cell>
          <cell r="E40">
            <v>1300780.54</v>
          </cell>
          <cell r="F40">
            <v>1240287.68</v>
          </cell>
          <cell r="G40">
            <v>1044857.09</v>
          </cell>
          <cell r="H40">
            <v>944630.37</v>
          </cell>
          <cell r="I40">
            <v>1405966.99</v>
          </cell>
          <cell r="J40">
            <v>1240348.3400000001</v>
          </cell>
          <cell r="O40" t="str">
            <v>93750</v>
          </cell>
          <cell r="P40">
            <v>1111973.77</v>
          </cell>
          <cell r="Q40">
            <v>2610117.02</v>
          </cell>
          <cell r="R40">
            <v>3609898.06</v>
          </cell>
          <cell r="S40">
            <v>4910678.5999999996</v>
          </cell>
          <cell r="T40">
            <v>6150966.2799999993</v>
          </cell>
          <cell r="U40">
            <v>7195823.3699999992</v>
          </cell>
          <cell r="V40">
            <v>8140453.7399999993</v>
          </cell>
          <cell r="W40">
            <v>9546420.7299999986</v>
          </cell>
          <cell r="X40">
            <v>10786769.069999998</v>
          </cell>
          <cell r="Y40">
            <v>10786769.069999998</v>
          </cell>
          <cell r="Z40">
            <v>10786769.069999998</v>
          </cell>
          <cell r="AA40">
            <v>10786769.069999998</v>
          </cell>
        </row>
        <row r="41">
          <cell r="A41" t="str">
            <v>93755</v>
          </cell>
          <cell r="E41">
            <v>511881.91</v>
          </cell>
          <cell r="F41">
            <v>368461.5</v>
          </cell>
          <cell r="G41">
            <v>360739.09</v>
          </cell>
          <cell r="H41">
            <v>307714.59999999998</v>
          </cell>
          <cell r="I41">
            <v>450936.79</v>
          </cell>
          <cell r="J41">
            <v>539852.43000000005</v>
          </cell>
          <cell r="O41" t="str">
            <v>93755</v>
          </cell>
          <cell r="P41">
            <v>0</v>
          </cell>
          <cell r="Q41">
            <v>0</v>
          </cell>
          <cell r="R41">
            <v>0</v>
          </cell>
          <cell r="S41">
            <v>511881.91</v>
          </cell>
          <cell r="T41">
            <v>880343.40999999992</v>
          </cell>
          <cell r="U41">
            <v>1241082.5</v>
          </cell>
          <cell r="V41">
            <v>1548797.1</v>
          </cell>
          <cell r="W41">
            <v>1999733.8900000001</v>
          </cell>
          <cell r="X41">
            <v>2539586.3200000003</v>
          </cell>
          <cell r="Y41">
            <v>2539586.3200000003</v>
          </cell>
          <cell r="Z41">
            <v>2539586.3200000003</v>
          </cell>
          <cell r="AA41">
            <v>2539586.3200000003</v>
          </cell>
        </row>
        <row r="42">
          <cell r="A42" t="str">
            <v>93800</v>
          </cell>
          <cell r="B42">
            <v>572866.98</v>
          </cell>
          <cell r="C42">
            <v>1369316.31</v>
          </cell>
          <cell r="D42">
            <v>758405.56</v>
          </cell>
          <cell r="E42">
            <v>1106107.7</v>
          </cell>
          <cell r="F42">
            <v>638145.28000000003</v>
          </cell>
          <cell r="G42">
            <v>715703.27</v>
          </cell>
          <cell r="H42">
            <v>474723</v>
          </cell>
          <cell r="I42">
            <v>821912.5</v>
          </cell>
          <cell r="J42">
            <v>598235.06000000006</v>
          </cell>
          <cell r="O42" t="str">
            <v>93800</v>
          </cell>
          <cell r="P42">
            <v>572866.98</v>
          </cell>
          <cell r="Q42">
            <v>1942183.29</v>
          </cell>
          <cell r="R42">
            <v>2700588.85</v>
          </cell>
          <cell r="S42">
            <v>3806696.55</v>
          </cell>
          <cell r="T42">
            <v>4444841.83</v>
          </cell>
          <cell r="U42">
            <v>5160545.0999999996</v>
          </cell>
          <cell r="V42">
            <v>5635268.0999999996</v>
          </cell>
          <cell r="W42">
            <v>6457180.5999999996</v>
          </cell>
          <cell r="X42">
            <v>7055415.6600000001</v>
          </cell>
          <cell r="Y42">
            <v>7055415.6600000001</v>
          </cell>
          <cell r="Z42">
            <v>7055415.6600000001</v>
          </cell>
          <cell r="AA42">
            <v>7055415.6600000001</v>
          </cell>
        </row>
        <row r="43">
          <cell r="A43" t="str">
            <v>93850</v>
          </cell>
          <cell r="B43">
            <v>759733.8</v>
          </cell>
          <cell r="C43">
            <v>800381.13</v>
          </cell>
          <cell r="D43">
            <v>750862.33</v>
          </cell>
          <cell r="E43">
            <v>645342.57999999996</v>
          </cell>
          <cell r="F43">
            <v>740134.77</v>
          </cell>
          <cell r="G43">
            <v>622517.11</v>
          </cell>
          <cell r="H43">
            <v>602597.02</v>
          </cell>
          <cell r="I43">
            <v>633334.91</v>
          </cell>
          <cell r="J43">
            <v>553335.21</v>
          </cell>
          <cell r="O43" t="str">
            <v>93850</v>
          </cell>
          <cell r="P43">
            <v>759733.8</v>
          </cell>
          <cell r="Q43">
            <v>1560114.9300000002</v>
          </cell>
          <cell r="R43">
            <v>2310977.2600000002</v>
          </cell>
          <cell r="S43">
            <v>2956319.8400000003</v>
          </cell>
          <cell r="T43">
            <v>3696454.6100000003</v>
          </cell>
          <cell r="U43">
            <v>4318971.7200000007</v>
          </cell>
          <cell r="V43">
            <v>4921568.74</v>
          </cell>
          <cell r="W43">
            <v>5554903.6500000004</v>
          </cell>
          <cell r="X43">
            <v>6108238.8600000003</v>
          </cell>
          <cell r="Y43">
            <v>6108238.8600000003</v>
          </cell>
          <cell r="Z43">
            <v>6108238.8600000003</v>
          </cell>
          <cell r="AA43">
            <v>6108238.8600000003</v>
          </cell>
        </row>
        <row r="44">
          <cell r="A44" t="str">
            <v>93900</v>
          </cell>
          <cell r="B44">
            <v>197200.52</v>
          </cell>
          <cell r="C44">
            <v>149903.72</v>
          </cell>
          <cell r="D44">
            <v>139839.48000000001</v>
          </cell>
          <cell r="E44">
            <v>172218.21</v>
          </cell>
          <cell r="F44">
            <v>196478.18</v>
          </cell>
          <cell r="G44">
            <v>168157.74</v>
          </cell>
          <cell r="H44">
            <v>184461.13</v>
          </cell>
          <cell r="I44">
            <v>183368.55</v>
          </cell>
          <cell r="J44">
            <v>102828.86</v>
          </cell>
          <cell r="O44" t="str">
            <v>93900</v>
          </cell>
          <cell r="P44">
            <v>197200.52</v>
          </cell>
          <cell r="Q44">
            <v>347104.24</v>
          </cell>
          <cell r="R44">
            <v>486943.72</v>
          </cell>
          <cell r="S44">
            <v>659161.92999999993</v>
          </cell>
          <cell r="T44">
            <v>855640.10999999987</v>
          </cell>
          <cell r="U44">
            <v>1023797.8499999999</v>
          </cell>
          <cell r="V44">
            <v>1208258.98</v>
          </cell>
          <cell r="W44">
            <v>1391627.53</v>
          </cell>
          <cell r="X44">
            <v>1494456.3900000001</v>
          </cell>
          <cell r="Y44">
            <v>1494456.3900000001</v>
          </cell>
          <cell r="Z44">
            <v>1494456.3900000001</v>
          </cell>
          <cell r="AA44">
            <v>1494456.3900000001</v>
          </cell>
        </row>
        <row r="45">
          <cell r="A45" t="str">
            <v>93910</v>
          </cell>
          <cell r="B45">
            <v>463042.39</v>
          </cell>
          <cell r="C45">
            <v>739315.9</v>
          </cell>
          <cell r="D45">
            <v>624629.06000000006</v>
          </cell>
          <cell r="E45">
            <v>515284.52</v>
          </cell>
          <cell r="F45">
            <v>647018.17000000004</v>
          </cell>
          <cell r="G45">
            <v>701803.98</v>
          </cell>
          <cell r="H45">
            <v>607567.79</v>
          </cell>
          <cell r="I45">
            <v>596272.54</v>
          </cell>
          <cell r="J45">
            <v>510434.79</v>
          </cell>
          <cell r="O45" t="str">
            <v>93910</v>
          </cell>
          <cell r="P45">
            <v>463042.39</v>
          </cell>
          <cell r="Q45">
            <v>1202358.29</v>
          </cell>
          <cell r="R45">
            <v>1826987.35</v>
          </cell>
          <cell r="S45">
            <v>2342271.87</v>
          </cell>
          <cell r="T45">
            <v>2989290.04</v>
          </cell>
          <cell r="U45">
            <v>3691094.02</v>
          </cell>
          <cell r="V45">
            <v>4298661.8100000005</v>
          </cell>
          <cell r="W45">
            <v>4894934.3500000006</v>
          </cell>
          <cell r="X45">
            <v>5405369.1400000006</v>
          </cell>
          <cell r="Y45">
            <v>5405369.1400000006</v>
          </cell>
          <cell r="Z45">
            <v>5405369.1400000006</v>
          </cell>
          <cell r="AA45">
            <v>5405369.1400000006</v>
          </cell>
        </row>
        <row r="46">
          <cell r="A46" t="str">
            <v>93920</v>
          </cell>
          <cell r="B46">
            <v>1083120.26</v>
          </cell>
          <cell r="C46">
            <v>375386.28</v>
          </cell>
          <cell r="D46">
            <v>227947.08</v>
          </cell>
          <cell r="E46">
            <v>682570.17</v>
          </cell>
          <cell r="F46">
            <v>622381.71</v>
          </cell>
          <cell r="G46">
            <v>587426.86</v>
          </cell>
          <cell r="H46">
            <v>1097771.8500000001</v>
          </cell>
          <cell r="I46">
            <v>557018.4</v>
          </cell>
          <cell r="J46">
            <v>1241134.95</v>
          </cell>
          <cell r="O46" t="str">
            <v>93920</v>
          </cell>
          <cell r="P46">
            <v>1083120.26</v>
          </cell>
          <cell r="Q46">
            <v>1458506.54</v>
          </cell>
          <cell r="R46">
            <v>1686453.62</v>
          </cell>
          <cell r="S46">
            <v>2369023.79</v>
          </cell>
          <cell r="T46">
            <v>2991405.5</v>
          </cell>
          <cell r="U46">
            <v>3578832.36</v>
          </cell>
          <cell r="V46">
            <v>4676604.21</v>
          </cell>
          <cell r="W46">
            <v>5233622.6100000003</v>
          </cell>
          <cell r="X46">
            <v>6474757.5600000005</v>
          </cell>
          <cell r="Y46">
            <v>6474757.5600000005</v>
          </cell>
          <cell r="Z46">
            <v>6474757.5600000005</v>
          </cell>
          <cell r="AA46">
            <v>6474757.5600000005</v>
          </cell>
        </row>
        <row r="47">
          <cell r="A47" t="str">
            <v>93930</v>
          </cell>
          <cell r="B47">
            <v>503253.07</v>
          </cell>
          <cell r="C47">
            <v>649279.89</v>
          </cell>
          <cell r="D47">
            <v>173137.34</v>
          </cell>
          <cell r="E47">
            <v>723989.02</v>
          </cell>
          <cell r="F47">
            <v>392686.9</v>
          </cell>
          <cell r="G47">
            <v>581295.93999999994</v>
          </cell>
          <cell r="H47">
            <v>565798.24</v>
          </cell>
          <cell r="I47">
            <v>501445.91</v>
          </cell>
          <cell r="J47">
            <v>572687</v>
          </cell>
          <cell r="O47" t="str">
            <v>93930</v>
          </cell>
          <cell r="P47">
            <v>503253.07</v>
          </cell>
          <cell r="Q47">
            <v>1152532.96</v>
          </cell>
          <cell r="R47">
            <v>1325670.3</v>
          </cell>
          <cell r="S47">
            <v>2049659.32</v>
          </cell>
          <cell r="T47">
            <v>2442346.2200000002</v>
          </cell>
          <cell r="U47">
            <v>3023642.16</v>
          </cell>
          <cell r="V47">
            <v>3589440.4000000004</v>
          </cell>
          <cell r="W47">
            <v>4090886.3100000005</v>
          </cell>
          <cell r="X47">
            <v>4663573.3100000005</v>
          </cell>
          <cell r="Y47">
            <v>4663573.3100000005</v>
          </cell>
          <cell r="Z47">
            <v>4663573.3100000005</v>
          </cell>
          <cell r="AA47">
            <v>4663573.3100000005</v>
          </cell>
        </row>
        <row r="48">
          <cell r="A48" t="str">
            <v>93940</v>
          </cell>
          <cell r="B48">
            <v>252585.82</v>
          </cell>
          <cell r="C48">
            <v>411386.43</v>
          </cell>
          <cell r="D48">
            <v>258155.07</v>
          </cell>
          <cell r="E48">
            <v>292729.99</v>
          </cell>
          <cell r="F48">
            <v>345405.52</v>
          </cell>
          <cell r="G48">
            <v>333705.39</v>
          </cell>
          <cell r="H48">
            <v>274337.63</v>
          </cell>
          <cell r="I48">
            <v>295643.25</v>
          </cell>
          <cell r="J48">
            <v>308278.09000000003</v>
          </cell>
          <cell r="O48" t="str">
            <v>93940</v>
          </cell>
          <cell r="P48">
            <v>252585.82</v>
          </cell>
          <cell r="Q48">
            <v>663972.25</v>
          </cell>
          <cell r="R48">
            <v>922127.32000000007</v>
          </cell>
          <cell r="S48">
            <v>1214857.31</v>
          </cell>
          <cell r="T48">
            <v>1560262.83</v>
          </cell>
          <cell r="U48">
            <v>1893968.2200000002</v>
          </cell>
          <cell r="V48">
            <v>2168305.85</v>
          </cell>
          <cell r="W48">
            <v>2463949.1</v>
          </cell>
          <cell r="X48">
            <v>2772227.19</v>
          </cell>
          <cell r="Y48">
            <v>2772227.19</v>
          </cell>
          <cell r="Z48">
            <v>2772227.19</v>
          </cell>
          <cell r="AA48">
            <v>2772227.19</v>
          </cell>
        </row>
        <row r="49">
          <cell r="A49" t="str">
            <v>93950</v>
          </cell>
          <cell r="B49">
            <v>538864.72</v>
          </cell>
          <cell r="C49">
            <v>456766.91</v>
          </cell>
          <cell r="D49">
            <v>678204.88</v>
          </cell>
          <cell r="E49">
            <v>262510.24</v>
          </cell>
          <cell r="F49">
            <v>240521.89</v>
          </cell>
          <cell r="G49">
            <v>375490.56</v>
          </cell>
          <cell r="H49">
            <v>374488.03</v>
          </cell>
          <cell r="I49">
            <v>434291.88</v>
          </cell>
          <cell r="J49">
            <v>327398.58</v>
          </cell>
          <cell r="O49" t="str">
            <v>93950</v>
          </cell>
          <cell r="P49">
            <v>538864.72</v>
          </cell>
          <cell r="Q49">
            <v>995631.62999999989</v>
          </cell>
          <cell r="R49">
            <v>1673836.5099999998</v>
          </cell>
          <cell r="S49">
            <v>1936346.7499999998</v>
          </cell>
          <cell r="T49">
            <v>2176868.6399999997</v>
          </cell>
          <cell r="U49">
            <v>2552359.1999999997</v>
          </cell>
          <cell r="V49">
            <v>2926847.2299999995</v>
          </cell>
          <cell r="W49">
            <v>3361139.1099999994</v>
          </cell>
          <cell r="X49">
            <v>3688537.6899999995</v>
          </cell>
          <cell r="Y49">
            <v>3688537.6899999995</v>
          </cell>
          <cell r="Z49">
            <v>3688537.6899999995</v>
          </cell>
          <cell r="AA49">
            <v>3688537.6899999995</v>
          </cell>
        </row>
        <row r="50">
          <cell r="A50" t="str">
            <v>92345</v>
          </cell>
          <cell r="J50">
            <v>10595</v>
          </cell>
          <cell r="O50" t="str">
            <v>92345</v>
          </cell>
          <cell r="P50">
            <v>0</v>
          </cell>
          <cell r="Q50">
            <v>0</v>
          </cell>
          <cell r="R50">
            <v>0</v>
          </cell>
          <cell r="S50">
            <v>0</v>
          </cell>
          <cell r="T50">
            <v>0</v>
          </cell>
          <cell r="U50">
            <v>0</v>
          </cell>
          <cell r="V50">
            <v>0</v>
          </cell>
          <cell r="W50">
            <v>0</v>
          </cell>
          <cell r="X50">
            <v>10595</v>
          </cell>
          <cell r="Y50">
            <v>10595</v>
          </cell>
          <cell r="Z50">
            <v>10595</v>
          </cell>
          <cell r="AA50">
            <v>10595</v>
          </cell>
        </row>
        <row r="51">
          <cell r="A51" t="str">
            <v>92356</v>
          </cell>
          <cell r="I51">
            <v>2011.79</v>
          </cell>
          <cell r="J51">
            <v>-105.85</v>
          </cell>
          <cell r="O51" t="str">
            <v>92356</v>
          </cell>
          <cell r="P51">
            <v>0</v>
          </cell>
          <cell r="Q51">
            <v>0</v>
          </cell>
          <cell r="R51">
            <v>0</v>
          </cell>
          <cell r="S51">
            <v>0</v>
          </cell>
          <cell r="T51">
            <v>0</v>
          </cell>
          <cell r="U51">
            <v>0</v>
          </cell>
          <cell r="V51">
            <v>0</v>
          </cell>
          <cell r="W51">
            <v>2011.79</v>
          </cell>
          <cell r="X51">
            <v>1905.94</v>
          </cell>
          <cell r="Y51">
            <v>1905.94</v>
          </cell>
          <cell r="Z51">
            <v>1905.94</v>
          </cell>
          <cell r="AA51">
            <v>1905.94</v>
          </cell>
        </row>
        <row r="52">
          <cell r="A52" t="str">
            <v>92394</v>
          </cell>
          <cell r="J52">
            <v>2261.09</v>
          </cell>
          <cell r="O52" t="str">
            <v>92394</v>
          </cell>
          <cell r="P52">
            <v>0</v>
          </cell>
          <cell r="Q52">
            <v>0</v>
          </cell>
          <cell r="R52">
            <v>0</v>
          </cell>
          <cell r="S52">
            <v>0</v>
          </cell>
          <cell r="T52">
            <v>0</v>
          </cell>
          <cell r="U52">
            <v>0</v>
          </cell>
          <cell r="V52">
            <v>0</v>
          </cell>
          <cell r="W52">
            <v>0</v>
          </cell>
          <cell r="X52">
            <v>2261.09</v>
          </cell>
          <cell r="Y52">
            <v>2261.09</v>
          </cell>
          <cell r="Z52">
            <v>2261.09</v>
          </cell>
          <cell r="AA52">
            <v>2261.09</v>
          </cell>
        </row>
        <row r="53">
          <cell r="O53" t="str">
            <v>Totalt</v>
          </cell>
          <cell r="P53">
            <v>15158173.500000002</v>
          </cell>
          <cell r="Q53">
            <v>30240132.810000002</v>
          </cell>
          <cell r="R53">
            <v>44023400.440000005</v>
          </cell>
          <cell r="S53">
            <v>60007732.700000003</v>
          </cell>
          <cell r="T53">
            <v>74873996.210000008</v>
          </cell>
          <cell r="U53">
            <v>92908293.300000012</v>
          </cell>
          <cell r="V53">
            <v>107912361.93000001</v>
          </cell>
          <cell r="W53">
            <v>123948291.04000001</v>
          </cell>
          <cell r="X53">
            <v>143766527.56</v>
          </cell>
          <cell r="Y53">
            <v>143766527.56</v>
          </cell>
          <cell r="Z53">
            <v>143766527.56</v>
          </cell>
          <cell r="AA53">
            <v>143766527.56</v>
          </cell>
        </row>
        <row r="54">
          <cell r="O54">
            <v>0</v>
          </cell>
          <cell r="P54">
            <v>0</v>
          </cell>
          <cell r="Q54">
            <v>0</v>
          </cell>
          <cell r="R54">
            <v>0</v>
          </cell>
          <cell r="S54">
            <v>0</v>
          </cell>
          <cell r="T54">
            <v>0</v>
          </cell>
          <cell r="U54">
            <v>0</v>
          </cell>
          <cell r="V54">
            <v>0</v>
          </cell>
          <cell r="W54">
            <v>0</v>
          </cell>
          <cell r="X54">
            <v>0</v>
          </cell>
          <cell r="Y54">
            <v>0</v>
          </cell>
          <cell r="Z54">
            <v>0</v>
          </cell>
          <cell r="AA54">
            <v>0</v>
          </cell>
        </row>
        <row r="55">
          <cell r="O55">
            <v>0</v>
          </cell>
          <cell r="P55">
            <v>0</v>
          </cell>
          <cell r="Q55">
            <v>0</v>
          </cell>
          <cell r="R55">
            <v>0</v>
          </cell>
          <cell r="S55">
            <v>0</v>
          </cell>
          <cell r="T55">
            <v>0</v>
          </cell>
          <cell r="U55">
            <v>0</v>
          </cell>
          <cell r="V55">
            <v>0</v>
          </cell>
          <cell r="W55">
            <v>0</v>
          </cell>
          <cell r="X55">
            <v>0</v>
          </cell>
          <cell r="Y55">
            <v>0</v>
          </cell>
          <cell r="Z55">
            <v>0</v>
          </cell>
          <cell r="AA55">
            <v>0</v>
          </cell>
        </row>
        <row r="56">
          <cell r="O56">
            <v>0</v>
          </cell>
          <cell r="P56">
            <v>0</v>
          </cell>
          <cell r="Q56">
            <v>0</v>
          </cell>
          <cell r="R56">
            <v>0</v>
          </cell>
          <cell r="S56">
            <v>0</v>
          </cell>
          <cell r="T56">
            <v>0</v>
          </cell>
          <cell r="U56">
            <v>0</v>
          </cell>
          <cell r="V56">
            <v>0</v>
          </cell>
          <cell r="W56">
            <v>0</v>
          </cell>
          <cell r="X56">
            <v>0</v>
          </cell>
          <cell r="Y56">
            <v>0</v>
          </cell>
          <cell r="Z56">
            <v>0</v>
          </cell>
          <cell r="AA56">
            <v>0</v>
          </cell>
        </row>
        <row r="57">
          <cell r="O57">
            <v>0</v>
          </cell>
          <cell r="P57">
            <v>0</v>
          </cell>
          <cell r="Q57">
            <v>0</v>
          </cell>
          <cell r="R57">
            <v>0</v>
          </cell>
          <cell r="S57">
            <v>0</v>
          </cell>
          <cell r="T57">
            <v>0</v>
          </cell>
          <cell r="U57">
            <v>0</v>
          </cell>
          <cell r="V57">
            <v>0</v>
          </cell>
          <cell r="W57">
            <v>0</v>
          </cell>
          <cell r="X57">
            <v>0</v>
          </cell>
          <cell r="Y57">
            <v>0</v>
          </cell>
          <cell r="Z57">
            <v>0</v>
          </cell>
          <cell r="AA57">
            <v>0</v>
          </cell>
        </row>
        <row r="58">
          <cell r="O58">
            <v>0</v>
          </cell>
          <cell r="P58">
            <v>0</v>
          </cell>
          <cell r="Q58">
            <v>0</v>
          </cell>
          <cell r="R58">
            <v>0</v>
          </cell>
          <cell r="S58">
            <v>0</v>
          </cell>
          <cell r="T58">
            <v>0</v>
          </cell>
          <cell r="U58">
            <v>0</v>
          </cell>
          <cell r="V58">
            <v>0</v>
          </cell>
          <cell r="W58">
            <v>0</v>
          </cell>
          <cell r="X58">
            <v>0</v>
          </cell>
          <cell r="Y58">
            <v>0</v>
          </cell>
          <cell r="Z58">
            <v>0</v>
          </cell>
          <cell r="AA58">
            <v>0</v>
          </cell>
        </row>
        <row r="59">
          <cell r="O59">
            <v>0</v>
          </cell>
          <cell r="P59">
            <v>0</v>
          </cell>
          <cell r="Q59">
            <v>0</v>
          </cell>
          <cell r="R59">
            <v>0</v>
          </cell>
          <cell r="S59">
            <v>0</v>
          </cell>
          <cell r="T59">
            <v>0</v>
          </cell>
          <cell r="U59">
            <v>0</v>
          </cell>
          <cell r="V59">
            <v>0</v>
          </cell>
          <cell r="W59">
            <v>0</v>
          </cell>
          <cell r="X59">
            <v>0</v>
          </cell>
          <cell r="Y59">
            <v>0</v>
          </cell>
          <cell r="Z59">
            <v>0</v>
          </cell>
          <cell r="AA59">
            <v>0</v>
          </cell>
        </row>
      </sheetData>
      <sheetData sheetId="12">
        <row r="8">
          <cell r="O8">
            <v>0</v>
          </cell>
          <cell r="P8">
            <v>-3253058.74</v>
          </cell>
          <cell r="Q8">
            <v>-6804979.9000000004</v>
          </cell>
          <cell r="R8">
            <v>-5587279.3100000005</v>
          </cell>
          <cell r="S8">
            <v>-4555082.0100000007</v>
          </cell>
          <cell r="T8">
            <v>-4029511.3200000008</v>
          </cell>
          <cell r="U8">
            <v>-1975689.6800000009</v>
          </cell>
          <cell r="V8">
            <v>-1862725.9000000008</v>
          </cell>
          <cell r="W8">
            <v>-801891.48000000091</v>
          </cell>
          <cell r="X8">
            <v>-226879.35000000149</v>
          </cell>
          <cell r="Y8">
            <v>-226879.35000000149</v>
          </cell>
          <cell r="Z8">
            <v>-226879.35000000149</v>
          </cell>
          <cell r="AA8">
            <v>-226879.35000000149</v>
          </cell>
        </row>
        <row r="9">
          <cell r="A9" t="str">
            <v>1000</v>
          </cell>
          <cell r="C9">
            <v>10734.55</v>
          </cell>
          <cell r="D9">
            <v>99372.68</v>
          </cell>
          <cell r="E9">
            <v>105783.9</v>
          </cell>
          <cell r="F9">
            <v>1945.82</v>
          </cell>
          <cell r="G9">
            <v>105987.06</v>
          </cell>
          <cell r="H9">
            <v>310557.03000000003</v>
          </cell>
          <cell r="I9">
            <v>30048.79</v>
          </cell>
          <cell r="J9">
            <v>69861.3</v>
          </cell>
          <cell r="O9" t="str">
            <v>1000</v>
          </cell>
          <cell r="P9">
            <v>0</v>
          </cell>
          <cell r="Q9">
            <v>10734.55</v>
          </cell>
          <cell r="R9">
            <v>110107.23</v>
          </cell>
          <cell r="S9">
            <v>215891.13</v>
          </cell>
          <cell r="T9">
            <v>217836.95</v>
          </cell>
          <cell r="U9">
            <v>323824.01</v>
          </cell>
          <cell r="V9">
            <v>634381.04</v>
          </cell>
          <cell r="W9">
            <v>664429.83000000007</v>
          </cell>
          <cell r="X9">
            <v>734291.13000000012</v>
          </cell>
          <cell r="Y9">
            <v>734291.13000000012</v>
          </cell>
          <cell r="Z9">
            <v>734291.13000000012</v>
          </cell>
          <cell r="AA9">
            <v>734291.13000000012</v>
          </cell>
        </row>
        <row r="10">
          <cell r="A10" t="str">
            <v>1001</v>
          </cell>
          <cell r="C10">
            <v>783</v>
          </cell>
          <cell r="D10">
            <v>13757.66</v>
          </cell>
          <cell r="E10">
            <v>980.31</v>
          </cell>
          <cell r="G10">
            <v>6624.6</v>
          </cell>
          <cell r="H10">
            <v>9402.5</v>
          </cell>
          <cell r="J10">
            <v>4466.13</v>
          </cell>
          <cell r="O10" t="str">
            <v>1001</v>
          </cell>
          <cell r="P10">
            <v>0</v>
          </cell>
          <cell r="Q10">
            <v>783</v>
          </cell>
          <cell r="R10">
            <v>14540.66</v>
          </cell>
          <cell r="S10">
            <v>15520.97</v>
          </cell>
          <cell r="T10">
            <v>15520.97</v>
          </cell>
          <cell r="U10">
            <v>22145.57</v>
          </cell>
          <cell r="V10">
            <v>31548.07</v>
          </cell>
          <cell r="W10">
            <v>31548.07</v>
          </cell>
          <cell r="X10">
            <v>36014.199999999997</v>
          </cell>
          <cell r="Y10">
            <v>36014.199999999997</v>
          </cell>
          <cell r="Z10">
            <v>36014.199999999997</v>
          </cell>
          <cell r="AA10">
            <v>36014.199999999997</v>
          </cell>
        </row>
        <row r="11">
          <cell r="A11" t="str">
            <v>1003</v>
          </cell>
          <cell r="B11">
            <v>7252.82</v>
          </cell>
          <cell r="C11">
            <v>11719.36</v>
          </cell>
          <cell r="H11">
            <v>16566.939999999999</v>
          </cell>
          <cell r="O11" t="str">
            <v>1003</v>
          </cell>
          <cell r="P11">
            <v>7252.82</v>
          </cell>
          <cell r="Q11">
            <v>18972.18</v>
          </cell>
          <cell r="R11">
            <v>18972.18</v>
          </cell>
          <cell r="S11">
            <v>18972.18</v>
          </cell>
          <cell r="T11">
            <v>18972.18</v>
          </cell>
          <cell r="U11">
            <v>18972.18</v>
          </cell>
          <cell r="V11">
            <v>35539.119999999995</v>
          </cell>
          <cell r="W11">
            <v>35539.119999999995</v>
          </cell>
          <cell r="X11">
            <v>35539.119999999995</v>
          </cell>
          <cell r="Y11">
            <v>35539.119999999995</v>
          </cell>
          <cell r="Z11">
            <v>35539.119999999995</v>
          </cell>
          <cell r="AA11">
            <v>35539.119999999995</v>
          </cell>
        </row>
        <row r="12">
          <cell r="A12" t="str">
            <v>1004</v>
          </cell>
          <cell r="B12">
            <v>125256.69</v>
          </cell>
          <cell r="C12">
            <v>152568.29</v>
          </cell>
          <cell r="D12">
            <v>254694.15</v>
          </cell>
          <cell r="E12">
            <v>255796.06</v>
          </cell>
          <cell r="F12">
            <v>373843.05</v>
          </cell>
          <cell r="G12">
            <v>218222.04</v>
          </cell>
          <cell r="H12">
            <v>193944.73</v>
          </cell>
          <cell r="I12">
            <v>230540.95</v>
          </cell>
          <cell r="J12">
            <v>231949.71</v>
          </cell>
          <cell r="O12" t="str">
            <v>1004</v>
          </cell>
          <cell r="P12">
            <v>125256.69</v>
          </cell>
          <cell r="Q12">
            <v>277824.98</v>
          </cell>
          <cell r="R12">
            <v>532519.13</v>
          </cell>
          <cell r="S12">
            <v>788315.19</v>
          </cell>
          <cell r="T12">
            <v>1162158.24</v>
          </cell>
          <cell r="U12">
            <v>1380380.28</v>
          </cell>
          <cell r="V12">
            <v>1574325.01</v>
          </cell>
          <cell r="W12">
            <v>1804865.96</v>
          </cell>
          <cell r="X12">
            <v>2036815.67</v>
          </cell>
          <cell r="Y12">
            <v>2036815.67</v>
          </cell>
          <cell r="Z12">
            <v>2036815.67</v>
          </cell>
          <cell r="AA12">
            <v>2036815.67</v>
          </cell>
        </row>
        <row r="13">
          <cell r="A13" t="str">
            <v>1005</v>
          </cell>
          <cell r="C13">
            <v>70422.179999999993</v>
          </cell>
          <cell r="E13">
            <v>0</v>
          </cell>
          <cell r="O13" t="str">
            <v>1005</v>
          </cell>
          <cell r="P13">
            <v>0</v>
          </cell>
          <cell r="Q13">
            <v>70422.179999999993</v>
          </cell>
          <cell r="R13">
            <v>70422.179999999993</v>
          </cell>
          <cell r="S13">
            <v>70422.179999999993</v>
          </cell>
          <cell r="T13">
            <v>70422.179999999993</v>
          </cell>
          <cell r="U13">
            <v>70422.179999999993</v>
          </cell>
          <cell r="V13">
            <v>70422.179999999993</v>
          </cell>
          <cell r="W13">
            <v>70422.179999999993</v>
          </cell>
          <cell r="X13">
            <v>70422.179999999993</v>
          </cell>
          <cell r="Y13">
            <v>70422.179999999993</v>
          </cell>
          <cell r="Z13">
            <v>70422.179999999993</v>
          </cell>
          <cell r="AA13">
            <v>70422.179999999993</v>
          </cell>
        </row>
        <row r="14">
          <cell r="A14" t="str">
            <v>1006</v>
          </cell>
          <cell r="B14">
            <v>125329.58</v>
          </cell>
          <cell r="C14">
            <v>72683.47</v>
          </cell>
          <cell r="D14">
            <v>2657.66</v>
          </cell>
          <cell r="E14">
            <v>97391.8</v>
          </cell>
          <cell r="F14">
            <v>32741.93</v>
          </cell>
          <cell r="G14">
            <v>79330.53</v>
          </cell>
          <cell r="H14">
            <v>96612.89</v>
          </cell>
          <cell r="I14">
            <v>9633.06</v>
          </cell>
          <cell r="J14">
            <v>50100.41</v>
          </cell>
          <cell r="O14" t="str">
            <v>1006</v>
          </cell>
          <cell r="P14">
            <v>125329.58</v>
          </cell>
          <cell r="Q14">
            <v>198013.05</v>
          </cell>
          <cell r="R14">
            <v>200670.71</v>
          </cell>
          <cell r="S14">
            <v>298062.51</v>
          </cell>
          <cell r="T14">
            <v>330804.44</v>
          </cell>
          <cell r="U14">
            <v>410134.97</v>
          </cell>
          <cell r="V14">
            <v>506747.86</v>
          </cell>
          <cell r="W14">
            <v>516380.92</v>
          </cell>
          <cell r="X14">
            <v>566481.32999999996</v>
          </cell>
          <cell r="Y14">
            <v>566481.32999999996</v>
          </cell>
          <cell r="Z14">
            <v>566481.32999999996</v>
          </cell>
          <cell r="AA14">
            <v>566481.32999999996</v>
          </cell>
        </row>
        <row r="15">
          <cell r="A15" t="str">
            <v>1007</v>
          </cell>
          <cell r="C15">
            <v>93265.33</v>
          </cell>
          <cell r="D15">
            <v>104084.64</v>
          </cell>
          <cell r="F15">
            <v>67436.7</v>
          </cell>
          <cell r="H15">
            <v>6677.42</v>
          </cell>
          <cell r="J15">
            <v>71000.009999999995</v>
          </cell>
          <cell r="O15" t="str">
            <v>1007</v>
          </cell>
          <cell r="P15">
            <v>0</v>
          </cell>
          <cell r="Q15">
            <v>93265.33</v>
          </cell>
          <cell r="R15">
            <v>197349.97</v>
          </cell>
          <cell r="S15">
            <v>197349.97</v>
          </cell>
          <cell r="T15">
            <v>264786.67</v>
          </cell>
          <cell r="U15">
            <v>264786.67</v>
          </cell>
          <cell r="V15">
            <v>271464.08999999997</v>
          </cell>
          <cell r="W15">
            <v>271464.08999999997</v>
          </cell>
          <cell r="X15">
            <v>342464.1</v>
          </cell>
          <cell r="Y15">
            <v>342464.1</v>
          </cell>
          <cell r="Z15">
            <v>342464.1</v>
          </cell>
          <cell r="AA15">
            <v>342464.1</v>
          </cell>
        </row>
        <row r="16">
          <cell r="A16" t="str">
            <v>1008</v>
          </cell>
          <cell r="B16">
            <v>65075.49</v>
          </cell>
          <cell r="C16">
            <v>4339.5200000000004</v>
          </cell>
          <cell r="D16">
            <v>1577.82</v>
          </cell>
          <cell r="E16">
            <v>20674.13</v>
          </cell>
          <cell r="F16">
            <v>433.87</v>
          </cell>
          <cell r="G16">
            <v>1880.24</v>
          </cell>
          <cell r="H16">
            <v>51478.720000000001</v>
          </cell>
          <cell r="J16">
            <v>1446.37</v>
          </cell>
          <cell r="O16" t="str">
            <v>1008</v>
          </cell>
          <cell r="P16">
            <v>65075.49</v>
          </cell>
          <cell r="Q16">
            <v>69415.009999999995</v>
          </cell>
          <cell r="R16">
            <v>70992.83</v>
          </cell>
          <cell r="S16">
            <v>91666.96</v>
          </cell>
          <cell r="T16">
            <v>92100.83</v>
          </cell>
          <cell r="U16">
            <v>93981.07</v>
          </cell>
          <cell r="V16">
            <v>145459.79</v>
          </cell>
          <cell r="W16">
            <v>145459.79</v>
          </cell>
          <cell r="X16">
            <v>146906.16</v>
          </cell>
          <cell r="Y16">
            <v>146906.16</v>
          </cell>
          <cell r="Z16">
            <v>146906.16</v>
          </cell>
          <cell r="AA16">
            <v>146906.16</v>
          </cell>
        </row>
        <row r="17">
          <cell r="A17" t="str">
            <v>1012</v>
          </cell>
          <cell r="B17">
            <v>43359.92</v>
          </cell>
          <cell r="C17">
            <v>1703.22</v>
          </cell>
          <cell r="D17">
            <v>1883.87</v>
          </cell>
          <cell r="F17">
            <v>570.53</v>
          </cell>
          <cell r="H17">
            <v>465.56</v>
          </cell>
          <cell r="O17" t="str">
            <v>1012</v>
          </cell>
          <cell r="P17">
            <v>43359.92</v>
          </cell>
          <cell r="Q17">
            <v>45063.14</v>
          </cell>
          <cell r="R17">
            <v>46947.01</v>
          </cell>
          <cell r="S17">
            <v>46947.01</v>
          </cell>
          <cell r="T17">
            <v>47517.54</v>
          </cell>
          <cell r="U17">
            <v>47517.54</v>
          </cell>
          <cell r="V17">
            <v>47983.1</v>
          </cell>
          <cell r="W17">
            <v>47983.1</v>
          </cell>
          <cell r="X17">
            <v>47983.1</v>
          </cell>
          <cell r="Y17">
            <v>47983.1</v>
          </cell>
          <cell r="Z17">
            <v>47983.1</v>
          </cell>
          <cell r="AA17">
            <v>47983.1</v>
          </cell>
        </row>
        <row r="18">
          <cell r="A18" t="str">
            <v>1013</v>
          </cell>
          <cell r="C18">
            <v>3800</v>
          </cell>
          <cell r="D18">
            <v>10462.9</v>
          </cell>
          <cell r="E18">
            <v>13703.63</v>
          </cell>
          <cell r="F18">
            <v>13165.73</v>
          </cell>
          <cell r="G18">
            <v>3600</v>
          </cell>
          <cell r="H18">
            <v>1923.79</v>
          </cell>
          <cell r="O18" t="str">
            <v>1013</v>
          </cell>
          <cell r="P18">
            <v>0</v>
          </cell>
          <cell r="Q18">
            <v>3800</v>
          </cell>
          <cell r="R18">
            <v>14262.9</v>
          </cell>
          <cell r="S18">
            <v>27966.53</v>
          </cell>
          <cell r="T18">
            <v>41132.259999999995</v>
          </cell>
          <cell r="U18">
            <v>44732.259999999995</v>
          </cell>
          <cell r="V18">
            <v>46656.049999999996</v>
          </cell>
          <cell r="W18">
            <v>46656.049999999996</v>
          </cell>
          <cell r="X18">
            <v>46656.049999999996</v>
          </cell>
          <cell r="Y18">
            <v>46656.049999999996</v>
          </cell>
          <cell r="Z18">
            <v>46656.049999999996</v>
          </cell>
          <cell r="AA18">
            <v>46656.049999999996</v>
          </cell>
        </row>
        <row r="19">
          <cell r="A19" t="str">
            <v>1016</v>
          </cell>
          <cell r="D19">
            <v>3514.5</v>
          </cell>
          <cell r="O19" t="str">
            <v>1016</v>
          </cell>
          <cell r="P19">
            <v>0</v>
          </cell>
          <cell r="Q19">
            <v>0</v>
          </cell>
          <cell r="R19">
            <v>3514.5</v>
          </cell>
          <cell r="S19">
            <v>3514.5</v>
          </cell>
          <cell r="T19">
            <v>3514.5</v>
          </cell>
          <cell r="U19">
            <v>3514.5</v>
          </cell>
          <cell r="V19">
            <v>3514.5</v>
          </cell>
          <cell r="W19">
            <v>3514.5</v>
          </cell>
          <cell r="X19">
            <v>3514.5</v>
          </cell>
          <cell r="Y19">
            <v>3514.5</v>
          </cell>
          <cell r="Z19">
            <v>3514.5</v>
          </cell>
          <cell r="AA19">
            <v>3514.5</v>
          </cell>
        </row>
        <row r="20">
          <cell r="A20" t="str">
            <v>1017</v>
          </cell>
          <cell r="C20">
            <v>240346.37</v>
          </cell>
          <cell r="D20">
            <v>5232.26</v>
          </cell>
          <cell r="F20">
            <v>4409.68</v>
          </cell>
          <cell r="G20">
            <v>54895.97</v>
          </cell>
          <cell r="H20">
            <v>79080</v>
          </cell>
          <cell r="I20">
            <v>8561.69</v>
          </cell>
          <cell r="J20">
            <v>55701.61</v>
          </cell>
          <cell r="O20" t="str">
            <v>1017</v>
          </cell>
          <cell r="P20">
            <v>0</v>
          </cell>
          <cell r="Q20">
            <v>240346.37</v>
          </cell>
          <cell r="R20">
            <v>245578.63</v>
          </cell>
          <cell r="S20">
            <v>245578.63</v>
          </cell>
          <cell r="T20">
            <v>249988.31</v>
          </cell>
          <cell r="U20">
            <v>304884.28000000003</v>
          </cell>
          <cell r="V20">
            <v>383964.28</v>
          </cell>
          <cell r="W20">
            <v>392525.97000000003</v>
          </cell>
          <cell r="X20">
            <v>448227.58</v>
          </cell>
          <cell r="Y20">
            <v>448227.58</v>
          </cell>
          <cell r="Z20">
            <v>448227.58</v>
          </cell>
          <cell r="AA20">
            <v>448227.58</v>
          </cell>
        </row>
        <row r="21">
          <cell r="A21" t="str">
            <v>1020</v>
          </cell>
          <cell r="F21">
            <v>8747.98</v>
          </cell>
          <cell r="O21" t="str">
            <v>1020</v>
          </cell>
          <cell r="P21">
            <v>0</v>
          </cell>
          <cell r="Q21">
            <v>0</v>
          </cell>
          <cell r="R21">
            <v>0</v>
          </cell>
          <cell r="S21">
            <v>0</v>
          </cell>
          <cell r="T21">
            <v>8747.98</v>
          </cell>
          <cell r="U21">
            <v>8747.98</v>
          </cell>
          <cell r="V21">
            <v>8747.98</v>
          </cell>
          <cell r="W21">
            <v>8747.98</v>
          </cell>
          <cell r="X21">
            <v>8747.98</v>
          </cell>
          <cell r="Y21">
            <v>8747.98</v>
          </cell>
          <cell r="Z21">
            <v>8747.98</v>
          </cell>
          <cell r="AA21">
            <v>8747.98</v>
          </cell>
        </row>
        <row r="22">
          <cell r="A22" t="str">
            <v>1023</v>
          </cell>
          <cell r="B22">
            <v>186060.88</v>
          </cell>
          <cell r="C22">
            <v>273755.46999999997</v>
          </cell>
          <cell r="D22">
            <v>146726.29</v>
          </cell>
          <cell r="E22">
            <v>13760.05</v>
          </cell>
          <cell r="F22">
            <v>92150</v>
          </cell>
          <cell r="O22" t="str">
            <v>1023</v>
          </cell>
          <cell r="P22">
            <v>186060.88</v>
          </cell>
          <cell r="Q22">
            <v>459816.35</v>
          </cell>
          <cell r="R22">
            <v>606542.64</v>
          </cell>
          <cell r="S22">
            <v>620302.69000000006</v>
          </cell>
          <cell r="T22">
            <v>712452.69000000006</v>
          </cell>
          <cell r="U22">
            <v>712452.69000000006</v>
          </cell>
          <cell r="V22">
            <v>712452.69000000006</v>
          </cell>
          <cell r="W22">
            <v>712452.69000000006</v>
          </cell>
          <cell r="X22">
            <v>712452.69000000006</v>
          </cell>
          <cell r="Y22">
            <v>712452.69000000006</v>
          </cell>
          <cell r="Z22">
            <v>712452.69000000006</v>
          </cell>
          <cell r="AA22">
            <v>712452.69000000006</v>
          </cell>
        </row>
        <row r="23">
          <cell r="A23" t="str">
            <v>1026</v>
          </cell>
          <cell r="B23">
            <v>62901.73</v>
          </cell>
          <cell r="C23">
            <v>38014.53</v>
          </cell>
          <cell r="D23">
            <v>34565.15</v>
          </cell>
          <cell r="E23">
            <v>81638.86</v>
          </cell>
          <cell r="F23">
            <v>2472.1799999999998</v>
          </cell>
          <cell r="G23">
            <v>7131.05</v>
          </cell>
          <cell r="H23">
            <v>35044.94</v>
          </cell>
          <cell r="I23">
            <v>32319.35</v>
          </cell>
          <cell r="J23">
            <v>5726.61</v>
          </cell>
          <cell r="O23" t="str">
            <v>1026</v>
          </cell>
          <cell r="P23">
            <v>62901.73</v>
          </cell>
          <cell r="Q23">
            <v>100916.26000000001</v>
          </cell>
          <cell r="R23">
            <v>135481.41</v>
          </cell>
          <cell r="S23">
            <v>217120.27000000002</v>
          </cell>
          <cell r="T23">
            <v>219592.45</v>
          </cell>
          <cell r="U23">
            <v>226723.5</v>
          </cell>
          <cell r="V23">
            <v>261768.44</v>
          </cell>
          <cell r="W23">
            <v>294087.78999999998</v>
          </cell>
          <cell r="X23">
            <v>299814.39999999997</v>
          </cell>
          <cell r="Y23">
            <v>299814.39999999997</v>
          </cell>
          <cell r="Z23">
            <v>299814.39999999997</v>
          </cell>
          <cell r="AA23">
            <v>299814.39999999997</v>
          </cell>
        </row>
        <row r="24">
          <cell r="A24" t="str">
            <v>1027</v>
          </cell>
          <cell r="B24">
            <v>695086.45</v>
          </cell>
          <cell r="C24">
            <v>115326.13</v>
          </cell>
          <cell r="D24">
            <v>760261.6</v>
          </cell>
          <cell r="E24">
            <v>297089.65000000002</v>
          </cell>
          <cell r="F24">
            <v>326701.17</v>
          </cell>
          <cell r="G24">
            <v>232835.29</v>
          </cell>
          <cell r="H24">
            <v>484816.37</v>
          </cell>
          <cell r="I24">
            <v>9011.7799999999897</v>
          </cell>
          <cell r="J24">
            <v>300199.38</v>
          </cell>
          <cell r="O24" t="str">
            <v>1027</v>
          </cell>
          <cell r="P24">
            <v>695086.45</v>
          </cell>
          <cell r="Q24">
            <v>810412.58</v>
          </cell>
          <cell r="R24">
            <v>1570674.18</v>
          </cell>
          <cell r="S24">
            <v>1867763.83</v>
          </cell>
          <cell r="T24">
            <v>2194465</v>
          </cell>
          <cell r="U24">
            <v>2427300.29</v>
          </cell>
          <cell r="V24">
            <v>2912116.66</v>
          </cell>
          <cell r="W24">
            <v>2921128.44</v>
          </cell>
          <cell r="X24">
            <v>3221327.82</v>
          </cell>
          <cell r="Y24">
            <v>3221327.82</v>
          </cell>
          <cell r="Z24">
            <v>3221327.82</v>
          </cell>
          <cell r="AA24">
            <v>3221327.82</v>
          </cell>
        </row>
        <row r="25">
          <cell r="A25" t="str">
            <v>1029</v>
          </cell>
          <cell r="B25">
            <v>376376.57</v>
          </cell>
          <cell r="C25">
            <v>576810.86</v>
          </cell>
          <cell r="D25">
            <v>461804.34</v>
          </cell>
          <cell r="E25">
            <v>420383.84</v>
          </cell>
          <cell r="F25">
            <v>451789.49</v>
          </cell>
          <cell r="G25">
            <v>613153.30000000005</v>
          </cell>
          <cell r="H25">
            <v>328829.34000000003</v>
          </cell>
          <cell r="I25">
            <v>473806.46</v>
          </cell>
          <cell r="J25">
            <v>330743.55</v>
          </cell>
          <cell r="O25" t="str">
            <v>1029</v>
          </cell>
          <cell r="P25">
            <v>376376.57</v>
          </cell>
          <cell r="Q25">
            <v>953187.42999999993</v>
          </cell>
          <cell r="R25">
            <v>1414991.77</v>
          </cell>
          <cell r="S25">
            <v>1835375.61</v>
          </cell>
          <cell r="T25">
            <v>2287165.1</v>
          </cell>
          <cell r="U25">
            <v>2900318.4000000004</v>
          </cell>
          <cell r="V25">
            <v>3229147.74</v>
          </cell>
          <cell r="W25">
            <v>3702954.2</v>
          </cell>
          <cell r="X25">
            <v>4033697.75</v>
          </cell>
          <cell r="Y25">
            <v>4033697.75</v>
          </cell>
          <cell r="Z25">
            <v>4033697.75</v>
          </cell>
          <cell r="AA25">
            <v>4033697.75</v>
          </cell>
        </row>
        <row r="26">
          <cell r="A26" t="str">
            <v>1032</v>
          </cell>
          <cell r="C26">
            <v>14815</v>
          </cell>
          <cell r="D26">
            <v>2037.9</v>
          </cell>
          <cell r="E26">
            <v>2037.9</v>
          </cell>
          <cell r="F26">
            <v>2037.9</v>
          </cell>
          <cell r="G26">
            <v>2037.9</v>
          </cell>
          <cell r="H26">
            <v>61294.35</v>
          </cell>
          <cell r="I26">
            <v>6113.71</v>
          </cell>
          <cell r="O26" t="str">
            <v>1032</v>
          </cell>
          <cell r="P26">
            <v>0</v>
          </cell>
          <cell r="Q26">
            <v>14815</v>
          </cell>
          <cell r="R26">
            <v>16852.900000000001</v>
          </cell>
          <cell r="S26">
            <v>18890.800000000003</v>
          </cell>
          <cell r="T26">
            <v>20928.700000000004</v>
          </cell>
          <cell r="U26">
            <v>22966.600000000006</v>
          </cell>
          <cell r="V26">
            <v>84260.950000000012</v>
          </cell>
          <cell r="W26">
            <v>90374.660000000018</v>
          </cell>
          <cell r="X26">
            <v>90374.660000000018</v>
          </cell>
          <cell r="Y26">
            <v>90374.660000000018</v>
          </cell>
          <cell r="Z26">
            <v>90374.660000000018</v>
          </cell>
          <cell r="AA26">
            <v>90374.660000000018</v>
          </cell>
        </row>
        <row r="27">
          <cell r="A27" t="str">
            <v>1033</v>
          </cell>
          <cell r="C27">
            <v>5635.5</v>
          </cell>
          <cell r="E27">
            <v>10967.04</v>
          </cell>
          <cell r="G27">
            <v>5369.89</v>
          </cell>
          <cell r="H27">
            <v>3882.51</v>
          </cell>
          <cell r="J27">
            <v>660.98</v>
          </cell>
          <cell r="O27" t="str">
            <v>1033</v>
          </cell>
          <cell r="P27">
            <v>0</v>
          </cell>
          <cell r="Q27">
            <v>5635.5</v>
          </cell>
          <cell r="R27">
            <v>5635.5</v>
          </cell>
          <cell r="S27">
            <v>16602.54</v>
          </cell>
          <cell r="T27">
            <v>16602.54</v>
          </cell>
          <cell r="U27">
            <v>21972.43</v>
          </cell>
          <cell r="V27">
            <v>25854.940000000002</v>
          </cell>
          <cell r="W27">
            <v>25854.940000000002</v>
          </cell>
          <cell r="X27">
            <v>26515.920000000002</v>
          </cell>
          <cell r="Y27">
            <v>26515.920000000002</v>
          </cell>
          <cell r="Z27">
            <v>26515.920000000002</v>
          </cell>
          <cell r="AA27">
            <v>26515.920000000002</v>
          </cell>
        </row>
        <row r="28">
          <cell r="A28" t="str">
            <v>1035</v>
          </cell>
          <cell r="D28">
            <v>74637</v>
          </cell>
          <cell r="O28" t="str">
            <v>1035</v>
          </cell>
          <cell r="P28">
            <v>0</v>
          </cell>
          <cell r="Q28">
            <v>0</v>
          </cell>
          <cell r="R28">
            <v>74637</v>
          </cell>
          <cell r="S28">
            <v>74637</v>
          </cell>
          <cell r="T28">
            <v>74637</v>
          </cell>
          <cell r="U28">
            <v>74637</v>
          </cell>
          <cell r="V28">
            <v>74637</v>
          </cell>
          <cell r="W28">
            <v>74637</v>
          </cell>
          <cell r="X28">
            <v>74637</v>
          </cell>
          <cell r="Y28">
            <v>74637</v>
          </cell>
          <cell r="Z28">
            <v>74637</v>
          </cell>
          <cell r="AA28">
            <v>74637</v>
          </cell>
        </row>
        <row r="29">
          <cell r="A29" t="str">
            <v>1036</v>
          </cell>
          <cell r="D29">
            <v>36366.379999999997</v>
          </cell>
          <cell r="O29" t="str">
            <v>1036</v>
          </cell>
          <cell r="P29">
            <v>0</v>
          </cell>
          <cell r="Q29">
            <v>0</v>
          </cell>
          <cell r="R29">
            <v>36366.379999999997</v>
          </cell>
          <cell r="S29">
            <v>36366.379999999997</v>
          </cell>
          <cell r="T29">
            <v>36366.379999999997</v>
          </cell>
          <cell r="U29">
            <v>36366.379999999997</v>
          </cell>
          <cell r="V29">
            <v>36366.379999999997</v>
          </cell>
          <cell r="W29">
            <v>36366.379999999997</v>
          </cell>
          <cell r="X29">
            <v>36366.379999999997</v>
          </cell>
          <cell r="Y29">
            <v>36366.379999999997</v>
          </cell>
          <cell r="Z29">
            <v>36366.379999999997</v>
          </cell>
          <cell r="AA29">
            <v>36366.379999999997</v>
          </cell>
        </row>
        <row r="30">
          <cell r="A30" t="str">
            <v>1037</v>
          </cell>
          <cell r="E30">
            <v>-14702.36</v>
          </cell>
          <cell r="H30">
            <v>1922.08</v>
          </cell>
          <cell r="I30">
            <v>2108.29</v>
          </cell>
          <cell r="J30">
            <v>7333.49</v>
          </cell>
          <cell r="O30" t="str">
            <v>1037</v>
          </cell>
          <cell r="P30">
            <v>0</v>
          </cell>
          <cell r="Q30">
            <v>0</v>
          </cell>
          <cell r="R30">
            <v>0</v>
          </cell>
          <cell r="S30">
            <v>-14702.36</v>
          </cell>
          <cell r="T30">
            <v>-14702.36</v>
          </cell>
          <cell r="U30">
            <v>-14702.36</v>
          </cell>
          <cell r="V30">
            <v>-12780.28</v>
          </cell>
          <cell r="W30">
            <v>-10671.990000000002</v>
          </cell>
          <cell r="X30">
            <v>-3338.5000000000018</v>
          </cell>
          <cell r="Y30">
            <v>-3338.5000000000018</v>
          </cell>
          <cell r="Z30">
            <v>-3338.5000000000018</v>
          </cell>
          <cell r="AA30">
            <v>-3338.5000000000018</v>
          </cell>
        </row>
        <row r="31">
          <cell r="A31" t="str">
            <v>1038</v>
          </cell>
          <cell r="E31">
            <v>-10429.4</v>
          </cell>
          <cell r="O31" t="str">
            <v>1038</v>
          </cell>
          <cell r="P31">
            <v>0</v>
          </cell>
          <cell r="Q31">
            <v>0</v>
          </cell>
          <cell r="R31">
            <v>0</v>
          </cell>
          <cell r="S31">
            <v>-10429.4</v>
          </cell>
          <cell r="T31">
            <v>-10429.4</v>
          </cell>
          <cell r="U31">
            <v>-10429.4</v>
          </cell>
          <cell r="V31">
            <v>-10429.4</v>
          </cell>
          <cell r="W31">
            <v>-10429.4</v>
          </cell>
          <cell r="X31">
            <v>-10429.4</v>
          </cell>
          <cell r="Y31">
            <v>-10429.4</v>
          </cell>
          <cell r="Z31">
            <v>-10429.4</v>
          </cell>
          <cell r="AA31">
            <v>-10429.4</v>
          </cell>
        </row>
        <row r="32">
          <cell r="A32" t="str">
            <v>1040</v>
          </cell>
          <cell r="D32">
            <v>145</v>
          </cell>
          <cell r="E32">
            <v>4817.68</v>
          </cell>
          <cell r="I32">
            <v>450</v>
          </cell>
          <cell r="O32" t="str">
            <v>1040</v>
          </cell>
          <cell r="P32">
            <v>0</v>
          </cell>
          <cell r="Q32">
            <v>0</v>
          </cell>
          <cell r="R32">
            <v>145</v>
          </cell>
          <cell r="S32">
            <v>4962.68</v>
          </cell>
          <cell r="T32">
            <v>4962.68</v>
          </cell>
          <cell r="U32">
            <v>4962.68</v>
          </cell>
          <cell r="V32">
            <v>4962.68</v>
          </cell>
          <cell r="W32">
            <v>5412.68</v>
          </cell>
          <cell r="X32">
            <v>5412.68</v>
          </cell>
          <cell r="Y32">
            <v>5412.68</v>
          </cell>
          <cell r="Z32">
            <v>5412.68</v>
          </cell>
          <cell r="AA32">
            <v>5412.68</v>
          </cell>
        </row>
        <row r="33">
          <cell r="A33" t="str">
            <v>1041</v>
          </cell>
          <cell r="C33">
            <v>23551.18</v>
          </cell>
          <cell r="E33">
            <v>-1.0000000002037268E-2</v>
          </cell>
          <cell r="O33" t="str">
            <v>1041</v>
          </cell>
          <cell r="P33">
            <v>0</v>
          </cell>
          <cell r="Q33">
            <v>23551.18</v>
          </cell>
          <cell r="R33">
            <v>23551.18</v>
          </cell>
          <cell r="S33">
            <v>23551.17</v>
          </cell>
          <cell r="T33">
            <v>23551.17</v>
          </cell>
          <cell r="U33">
            <v>23551.17</v>
          </cell>
          <cell r="V33">
            <v>23551.17</v>
          </cell>
          <cell r="W33">
            <v>23551.17</v>
          </cell>
          <cell r="X33">
            <v>23551.17</v>
          </cell>
          <cell r="Y33">
            <v>23551.17</v>
          </cell>
          <cell r="Z33">
            <v>23551.17</v>
          </cell>
          <cell r="AA33">
            <v>23551.17</v>
          </cell>
        </row>
        <row r="34">
          <cell r="A34" t="str">
            <v>1046</v>
          </cell>
          <cell r="D34">
            <v>136259.07</v>
          </cell>
          <cell r="F34">
            <v>3348.79</v>
          </cell>
          <cell r="O34" t="str">
            <v>1046</v>
          </cell>
          <cell r="P34">
            <v>0</v>
          </cell>
          <cell r="Q34">
            <v>0</v>
          </cell>
          <cell r="R34">
            <v>136259.07</v>
          </cell>
          <cell r="S34">
            <v>136259.07</v>
          </cell>
          <cell r="T34">
            <v>139607.86000000002</v>
          </cell>
          <cell r="U34">
            <v>139607.86000000002</v>
          </cell>
          <cell r="V34">
            <v>139607.86000000002</v>
          </cell>
          <cell r="W34">
            <v>139607.86000000002</v>
          </cell>
          <cell r="X34">
            <v>139607.86000000002</v>
          </cell>
          <cell r="Y34">
            <v>139607.86000000002</v>
          </cell>
          <cell r="Z34">
            <v>139607.86000000002</v>
          </cell>
          <cell r="AA34">
            <v>139607.86000000002</v>
          </cell>
        </row>
        <row r="35">
          <cell r="A35" t="str">
            <v>1048</v>
          </cell>
          <cell r="C35">
            <v>21662</v>
          </cell>
          <cell r="O35" t="str">
            <v>1048</v>
          </cell>
          <cell r="P35">
            <v>0</v>
          </cell>
          <cell r="Q35">
            <v>21662</v>
          </cell>
          <cell r="R35">
            <v>21662</v>
          </cell>
          <cell r="S35">
            <v>21662</v>
          </cell>
          <cell r="T35">
            <v>21662</v>
          </cell>
          <cell r="U35">
            <v>21662</v>
          </cell>
          <cell r="V35">
            <v>21662</v>
          </cell>
          <cell r="W35">
            <v>21662</v>
          </cell>
          <cell r="X35">
            <v>21662</v>
          </cell>
          <cell r="Y35">
            <v>21662</v>
          </cell>
          <cell r="Z35">
            <v>21662</v>
          </cell>
          <cell r="AA35">
            <v>21662</v>
          </cell>
        </row>
        <row r="36">
          <cell r="A36" t="str">
            <v>1053</v>
          </cell>
          <cell r="E36">
            <v>350</v>
          </cell>
          <cell r="O36" t="str">
            <v>1053</v>
          </cell>
          <cell r="P36">
            <v>0</v>
          </cell>
          <cell r="Q36">
            <v>0</v>
          </cell>
          <cell r="R36">
            <v>0</v>
          </cell>
          <cell r="S36">
            <v>350</v>
          </cell>
          <cell r="T36">
            <v>350</v>
          </cell>
          <cell r="U36">
            <v>350</v>
          </cell>
          <cell r="V36">
            <v>350</v>
          </cell>
          <cell r="W36">
            <v>350</v>
          </cell>
          <cell r="X36">
            <v>350</v>
          </cell>
          <cell r="Y36">
            <v>350</v>
          </cell>
          <cell r="Z36">
            <v>350</v>
          </cell>
          <cell r="AA36">
            <v>350</v>
          </cell>
        </row>
        <row r="37">
          <cell r="A37" t="str">
            <v>1055</v>
          </cell>
          <cell r="G37">
            <v>143.69</v>
          </cell>
          <cell r="H37">
            <v>2095.75</v>
          </cell>
          <cell r="I37">
            <v>2204.84</v>
          </cell>
          <cell r="J37">
            <v>133127.01</v>
          </cell>
          <cell r="O37" t="str">
            <v>1055</v>
          </cell>
          <cell r="P37">
            <v>0</v>
          </cell>
          <cell r="Q37">
            <v>0</v>
          </cell>
          <cell r="R37">
            <v>0</v>
          </cell>
          <cell r="S37">
            <v>0</v>
          </cell>
          <cell r="T37">
            <v>0</v>
          </cell>
          <cell r="U37">
            <v>143.69</v>
          </cell>
          <cell r="V37">
            <v>2239.44</v>
          </cell>
          <cell r="W37">
            <v>4444.2800000000007</v>
          </cell>
          <cell r="X37">
            <v>137571.29</v>
          </cell>
          <cell r="Y37">
            <v>137571.29</v>
          </cell>
          <cell r="Z37">
            <v>137571.29</v>
          </cell>
          <cell r="AA37">
            <v>137571.29</v>
          </cell>
        </row>
        <row r="38">
          <cell r="O38" t="str">
            <v>Totalt</v>
          </cell>
          <cell r="P38">
            <v>-1566358.61</v>
          </cell>
          <cell r="Q38">
            <v>-3386343.81</v>
          </cell>
          <cell r="R38">
            <v>-18602.350000000093</v>
          </cell>
          <cell r="S38">
            <v>2313838.0299999998</v>
          </cell>
          <cell r="T38">
            <v>4221203.54</v>
          </cell>
          <cell r="U38">
            <v>7606236.7400000002</v>
          </cell>
          <cell r="V38">
            <v>9403795.4399999995</v>
          </cell>
          <cell r="W38">
            <v>11269428.779999999</v>
          </cell>
          <cell r="X38">
            <v>13106757.469999999</v>
          </cell>
          <cell r="Y38">
            <v>13106757.469999999</v>
          </cell>
          <cell r="Z38">
            <v>13106757.469999999</v>
          </cell>
          <cell r="AA38">
            <v>13106757.469999999</v>
          </cell>
        </row>
        <row r="39">
          <cell r="O39">
            <v>0</v>
          </cell>
          <cell r="P39">
            <v>0</v>
          </cell>
          <cell r="Q39">
            <v>0</v>
          </cell>
          <cell r="R39">
            <v>0</v>
          </cell>
          <cell r="S39">
            <v>0</v>
          </cell>
          <cell r="T39">
            <v>0</v>
          </cell>
          <cell r="U39">
            <v>0</v>
          </cell>
          <cell r="V39">
            <v>0</v>
          </cell>
          <cell r="W39">
            <v>0</v>
          </cell>
          <cell r="X39">
            <v>0</v>
          </cell>
          <cell r="Y39">
            <v>0</v>
          </cell>
          <cell r="Z39">
            <v>0</v>
          </cell>
          <cell r="AA39">
            <v>0</v>
          </cell>
        </row>
        <row r="40">
          <cell r="O40">
            <v>0</v>
          </cell>
          <cell r="P40">
            <v>0</v>
          </cell>
          <cell r="Q40">
            <v>0</v>
          </cell>
          <cell r="R40">
            <v>0</v>
          </cell>
          <cell r="S40">
            <v>0</v>
          </cell>
          <cell r="T40">
            <v>0</v>
          </cell>
          <cell r="U40">
            <v>0</v>
          </cell>
          <cell r="V40">
            <v>0</v>
          </cell>
          <cell r="W40">
            <v>0</v>
          </cell>
          <cell r="X40">
            <v>0</v>
          </cell>
          <cell r="Y40">
            <v>0</v>
          </cell>
          <cell r="Z40">
            <v>0</v>
          </cell>
          <cell r="AA40">
            <v>0</v>
          </cell>
        </row>
        <row r="41">
          <cell r="O41">
            <v>0</v>
          </cell>
          <cell r="P41">
            <v>0</v>
          </cell>
          <cell r="Q41">
            <v>0</v>
          </cell>
          <cell r="R41">
            <v>0</v>
          </cell>
          <cell r="S41">
            <v>0</v>
          </cell>
          <cell r="T41">
            <v>0</v>
          </cell>
          <cell r="U41">
            <v>0</v>
          </cell>
          <cell r="V41">
            <v>0</v>
          </cell>
          <cell r="W41">
            <v>0</v>
          </cell>
          <cell r="X41">
            <v>0</v>
          </cell>
          <cell r="Y41">
            <v>0</v>
          </cell>
          <cell r="Z41">
            <v>0</v>
          </cell>
          <cell r="AA41">
            <v>0</v>
          </cell>
        </row>
        <row r="42">
          <cell r="O42">
            <v>0</v>
          </cell>
          <cell r="P42">
            <v>0</v>
          </cell>
          <cell r="Q42">
            <v>0</v>
          </cell>
          <cell r="R42">
            <v>0</v>
          </cell>
          <cell r="S42">
            <v>0</v>
          </cell>
          <cell r="T42">
            <v>0</v>
          </cell>
          <cell r="U42">
            <v>0</v>
          </cell>
          <cell r="V42">
            <v>0</v>
          </cell>
          <cell r="W42">
            <v>0</v>
          </cell>
          <cell r="X42">
            <v>0</v>
          </cell>
          <cell r="Y42">
            <v>0</v>
          </cell>
          <cell r="Z42">
            <v>0</v>
          </cell>
          <cell r="AA42">
            <v>0</v>
          </cell>
        </row>
      </sheetData>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Version History"/>
      <sheetName val="imports"/>
      <sheetName val="C5"/>
      <sheetName val="other sources"/>
      <sheetName val="HH"/>
      <sheetName val="S"/>
      <sheetName val="M"/>
      <sheetName val="L"/>
      <sheetName val="FREV1"/>
      <sheetName val="FREV2"/>
      <sheetName val="FREV3"/>
      <sheetName val="foldback"/>
      <sheetName val="C1"/>
      <sheetName val="C2"/>
      <sheetName val="C3"/>
      <sheetName val="C4"/>
      <sheetName val="C6"/>
      <sheetName val="C7"/>
      <sheetName val="C8"/>
      <sheetName val="C-Por"/>
      <sheetName val="C-Gr"/>
      <sheetName val="C-Swi"/>
      <sheetName val="C-Swe"/>
      <sheetName val="C-No"/>
      <sheetName val="C-Ne"/>
      <sheetName val="C-Fi"/>
      <sheetName val="C-Dk"/>
      <sheetName val="C-Os"/>
      <sheetName val="C-UK"/>
      <sheetName val="C-Ar"/>
      <sheetName val="C-Fr"/>
      <sheetName val="C-Ge"/>
      <sheetName val="C-It"/>
      <sheetName val="C-J"/>
      <sheetName val="C-US"/>
    </sheetNames>
    <sheetDataSet>
      <sheetData sheetId="0">
        <row r="5">
          <cell r="B5" t="str">
            <v>fixed seeds</v>
          </cell>
        </row>
        <row r="6">
          <cell r="B6" t="str">
            <v>models site numbers and spend per site for seed countries</v>
          </cell>
        </row>
        <row r="8">
          <cell r="B8" t="str">
            <v>v0</v>
          </cell>
        </row>
        <row r="9">
          <cell r="B9" t="str">
            <v>Under construction</v>
          </cell>
        </row>
        <row r="14">
          <cell r="B14" t="str">
            <v>andrew entwistle</v>
          </cell>
        </row>
        <row r="15">
          <cell r="B15" t="str">
            <v>andrew@newstreetresearch.com</v>
          </cell>
        </row>
      </sheetData>
      <sheetData sheetId="1" refreshError="1"/>
      <sheetData sheetId="2"/>
      <sheetData sheetId="3" refreshError="1"/>
      <sheetData sheetId="4" refreshError="1"/>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s - Debt Roll"/>
    </sheetNames>
    <sheetDataSet>
      <sheetData sheetId="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ﾃﾞｰﾀ加工(MTD)"/>
      <sheetName val="ﾃﾞｰﾀ加工(YTD)"/>
    </sheetNames>
    <sheetDataSet>
      <sheetData sheetId="0" refreshError="1"/>
      <sheetData sheetId="1"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Page"/>
      <sheetName val="GAAP IS"/>
      <sheetName val="Non-GAAP IS"/>
      <sheetName val="Operating Metrics"/>
      <sheetName val="Segment Information"/>
      <sheetName val="Segment Information pre Q4 2023"/>
      <sheetName val="Combined Company Metrics"/>
      <sheetName val="Segment Information ex-BNPL"/>
      <sheetName val="Pro Forma ex-Caviar"/>
    </sheetNames>
    <sheetDataSet>
      <sheetData sheetId="0"/>
      <sheetData sheetId="1">
        <row r="14">
          <cell r="C14">
            <v>250557</v>
          </cell>
          <cell r="D14">
            <v>310013</v>
          </cell>
          <cell r="E14">
            <v>332188</v>
          </cell>
          <cell r="F14">
            <v>374360</v>
          </cell>
          <cell r="G14">
            <v>379269</v>
          </cell>
          <cell r="H14">
            <v>438533</v>
          </cell>
          <cell r="I14">
            <v>439002</v>
          </cell>
          <cell r="J14">
            <v>451917</v>
          </cell>
          <cell r="K14">
            <v>461554</v>
          </cell>
          <cell r="L14">
            <v>551505</v>
          </cell>
          <cell r="M14">
            <v>585159</v>
          </cell>
          <cell r="N14">
            <v>616035</v>
          </cell>
          <cell r="O14">
            <v>668603</v>
          </cell>
          <cell r="P14">
            <v>814938</v>
          </cell>
          <cell r="Q14">
            <v>882108</v>
          </cell>
          <cell r="R14">
            <v>932528</v>
          </cell>
          <cell r="S14">
            <v>959359</v>
          </cell>
          <cell r="T14">
            <v>1174238</v>
          </cell>
          <cell r="U14">
            <v>1266474</v>
          </cell>
          <cell r="V14">
            <v>1313429</v>
          </cell>
          <cell r="W14">
            <v>1381109</v>
          </cell>
          <cell r="X14">
            <v>1923625</v>
          </cell>
          <cell r="Y14">
            <v>3033874</v>
          </cell>
          <cell r="Z14">
            <v>3158970</v>
          </cell>
          <cell r="AA14">
            <v>5057270</v>
          </cell>
          <cell r="AB14">
            <v>4680672</v>
          </cell>
          <cell r="AC14">
            <v>3844727</v>
          </cell>
          <cell r="AD14">
            <v>4078534</v>
          </cell>
          <cell r="AE14">
            <v>3960645</v>
          </cell>
          <cell r="AF14">
            <v>4404499</v>
          </cell>
          <cell r="AG14">
            <v>4515541</v>
          </cell>
          <cell r="AH14">
            <v>4650902</v>
          </cell>
          <cell r="AI14">
            <v>4990131</v>
          </cell>
          <cell r="AJ14">
            <v>5534957</v>
          </cell>
          <cell r="AK14">
            <v>5617493</v>
          </cell>
          <cell r="AL14">
            <v>5773042</v>
          </cell>
          <cell r="AM14">
            <v>5957128</v>
          </cell>
        </row>
        <row r="17">
          <cell r="V17">
            <v>519381</v>
          </cell>
          <cell r="W17">
            <v>466466</v>
          </cell>
          <cell r="X17">
            <v>389136</v>
          </cell>
          <cell r="Y17">
            <v>524056</v>
          </cell>
          <cell r="Z17">
            <v>536986</v>
          </cell>
          <cell r="AA17">
            <v>524281</v>
          </cell>
          <cell r="AB17">
            <v>682348</v>
          </cell>
          <cell r="AC17">
            <v>751794</v>
          </cell>
          <cell r="AD17">
            <v>761079</v>
          </cell>
          <cell r="AE17">
            <v>716236</v>
          </cell>
          <cell r="AG17">
            <v>901990</v>
          </cell>
          <cell r="AH17">
            <v>870040</v>
          </cell>
          <cell r="AI17">
            <v>820787</v>
          </cell>
          <cell r="AJ17">
            <v>950523</v>
          </cell>
          <cell r="AK17">
            <v>984658</v>
          </cell>
          <cell r="AL17">
            <v>946048</v>
          </cell>
          <cell r="AM17">
            <v>873165</v>
          </cell>
        </row>
        <row r="21">
          <cell r="V21">
            <v>174438</v>
          </cell>
          <cell r="W21">
            <v>299426</v>
          </cell>
          <cell r="X21">
            <v>858041</v>
          </cell>
          <cell r="Y21">
            <v>1601615</v>
          </cell>
          <cell r="Z21">
            <v>1715452</v>
          </cell>
          <cell r="AA21">
            <v>3436135</v>
          </cell>
          <cell r="AB21">
            <v>2669641</v>
          </cell>
          <cell r="AC21">
            <v>1774040</v>
          </cell>
          <cell r="AD21">
            <v>1915176</v>
          </cell>
          <cell r="AE21">
            <v>1687459</v>
          </cell>
          <cell r="AG21">
            <v>1726051</v>
          </cell>
          <cell r="AH21">
            <v>1798798</v>
          </cell>
          <cell r="AI21">
            <v>2113375</v>
          </cell>
          <cell r="AJ21">
            <v>2346633</v>
          </cell>
          <cell r="AK21">
            <v>2378906</v>
          </cell>
          <cell r="AL21">
            <v>2454199</v>
          </cell>
          <cell r="AM21">
            <v>2651010</v>
          </cell>
        </row>
        <row r="22">
          <cell r="AE22">
            <v>15469</v>
          </cell>
          <cell r="AF22">
            <v>17899</v>
          </cell>
          <cell r="AG22">
            <v>18506</v>
          </cell>
          <cell r="AH22">
            <v>18320</v>
          </cell>
          <cell r="AI22">
            <v>18508</v>
          </cell>
          <cell r="AJ22">
            <v>18392</v>
          </cell>
          <cell r="AK22">
            <v>17880</v>
          </cell>
          <cell r="AL22">
            <v>18049</v>
          </cell>
          <cell r="AM22">
            <v>18027</v>
          </cell>
          <cell r="AV22">
            <v>70194</v>
          </cell>
        </row>
        <row r="24">
          <cell r="C24">
            <v>74285</v>
          </cell>
          <cell r="D24">
            <v>90342</v>
          </cell>
          <cell r="E24">
            <v>96310</v>
          </cell>
          <cell r="F24">
            <v>109093</v>
          </cell>
          <cell r="G24">
            <v>110240</v>
          </cell>
          <cell r="H24">
            <v>148959</v>
          </cell>
          <cell r="I24">
            <v>150314</v>
          </cell>
          <cell r="J24">
            <v>166525</v>
          </cell>
          <cell r="K24">
            <v>173431</v>
          </cell>
          <cell r="L24">
            <v>207429</v>
          </cell>
          <cell r="M24">
            <v>218616</v>
          </cell>
          <cell r="N24">
            <v>239830</v>
          </cell>
          <cell r="O24">
            <v>255170</v>
          </cell>
          <cell r="P24">
            <v>315816</v>
          </cell>
          <cell r="Q24">
            <v>352660</v>
          </cell>
          <cell r="R24">
            <v>380054</v>
          </cell>
          <cell r="S24">
            <v>396754</v>
          </cell>
          <cell r="T24">
            <v>465845</v>
          </cell>
          <cell r="U24">
            <v>500037</v>
          </cell>
          <cell r="V24">
            <v>527049</v>
          </cell>
          <cell r="W24">
            <v>538501</v>
          </cell>
          <cell r="X24">
            <v>596763</v>
          </cell>
          <cell r="Y24">
            <v>794455</v>
          </cell>
          <cell r="Z24">
            <v>803690</v>
          </cell>
          <cell r="AA24">
            <v>963500</v>
          </cell>
          <cell r="AB24">
            <v>1141065</v>
          </cell>
          <cell r="AC24">
            <v>1133215</v>
          </cell>
          <cell r="AD24">
            <v>1182042</v>
          </cell>
          <cell r="AE24">
            <v>1294960</v>
          </cell>
          <cell r="AF24">
            <v>1469648</v>
          </cell>
          <cell r="AG24">
            <v>1567089</v>
          </cell>
          <cell r="AH24">
            <v>1660195</v>
          </cell>
          <cell r="AI24">
            <v>1714584</v>
          </cell>
          <cell r="AJ24">
            <v>1866101</v>
          </cell>
          <cell r="AK24">
            <v>1898449</v>
          </cell>
          <cell r="AL24">
            <v>2025752</v>
          </cell>
          <cell r="AM24">
            <v>2094473</v>
          </cell>
        </row>
        <row r="27">
          <cell r="C27">
            <v>39545</v>
          </cell>
          <cell r="D27">
            <v>45887</v>
          </cell>
          <cell r="E27">
            <v>55020</v>
          </cell>
          <cell r="F27">
            <v>59186</v>
          </cell>
          <cell r="G27">
            <v>64592</v>
          </cell>
          <cell r="H27">
            <v>68638</v>
          </cell>
          <cell r="I27">
            <v>70418</v>
          </cell>
          <cell r="J27">
            <v>64889</v>
          </cell>
          <cell r="K27">
            <v>68582</v>
          </cell>
          <cell r="L27">
            <v>78126</v>
          </cell>
          <cell r="M27">
            <v>82547</v>
          </cell>
          <cell r="N27">
            <v>92633</v>
          </cell>
          <cell r="O27">
            <v>105095</v>
          </cell>
          <cell r="P27">
            <v>114800</v>
          </cell>
          <cell r="Q27">
            <v>135773</v>
          </cell>
          <cell r="R27">
            <v>141811</v>
          </cell>
          <cell r="S27">
            <v>155240</v>
          </cell>
          <cell r="T27">
            <v>175090</v>
          </cell>
          <cell r="U27">
            <v>169661</v>
          </cell>
          <cell r="V27">
            <v>174174</v>
          </cell>
          <cell r="W27">
            <v>195876</v>
          </cell>
          <cell r="X27">
            <v>207730</v>
          </cell>
          <cell r="Y27">
            <v>227550</v>
          </cell>
          <cell r="Z27">
            <v>254525</v>
          </cell>
          <cell r="AA27">
            <v>307711</v>
          </cell>
          <cell r="AB27">
            <v>324058</v>
          </cell>
          <cell r="AC27">
            <v>360729</v>
          </cell>
          <cell r="AD27">
            <v>391343</v>
          </cell>
          <cell r="AE27">
            <v>458224</v>
          </cell>
          <cell r="AF27">
            <v>524827</v>
          </cell>
          <cell r="AG27">
            <v>548037</v>
          </cell>
          <cell r="AH27">
            <v>604524</v>
          </cell>
          <cell r="AI27">
            <v>626937</v>
          </cell>
          <cell r="AJ27">
            <v>694672</v>
          </cell>
          <cell r="AK27">
            <v>713788</v>
          </cell>
          <cell r="AL27">
            <v>685422</v>
          </cell>
          <cell r="AM27">
            <v>720574</v>
          </cell>
        </row>
        <row r="28">
          <cell r="C28">
            <v>36181</v>
          </cell>
          <cell r="D28">
            <v>31730</v>
          </cell>
          <cell r="E28">
            <v>39259</v>
          </cell>
          <cell r="F28">
            <v>38448</v>
          </cell>
          <cell r="G28">
            <v>38496</v>
          </cell>
          <cell r="H28">
            <v>39220</v>
          </cell>
          <cell r="I28">
            <v>46754</v>
          </cell>
          <cell r="J28">
            <v>49406</v>
          </cell>
          <cell r="K28">
            <v>49900</v>
          </cell>
          <cell r="L28">
            <v>59916</v>
          </cell>
          <cell r="M28">
            <v>66533</v>
          </cell>
          <cell r="N28">
            <v>76821</v>
          </cell>
          <cell r="O28">
            <v>77266</v>
          </cell>
          <cell r="P28">
            <v>98243</v>
          </cell>
          <cell r="Q28">
            <v>116337</v>
          </cell>
          <cell r="R28">
            <v>119305</v>
          </cell>
          <cell r="S28">
            <v>133848</v>
          </cell>
          <cell r="T28">
            <v>156556</v>
          </cell>
          <cell r="U28">
            <v>149491</v>
          </cell>
          <cell r="V28">
            <v>185231</v>
          </cell>
          <cell r="W28">
            <v>194535</v>
          </cell>
          <cell r="X28">
            <v>238096</v>
          </cell>
          <cell r="Y28">
            <v>348463</v>
          </cell>
          <cell r="Z28">
            <v>328576</v>
          </cell>
          <cell r="AA28">
            <v>349460</v>
          </cell>
          <cell r="AB28">
            <v>373878</v>
          </cell>
          <cell r="AC28">
            <v>409073</v>
          </cell>
          <cell r="AD28">
            <v>484778</v>
          </cell>
          <cell r="AE28">
            <v>501562</v>
          </cell>
          <cell r="AF28">
            <v>530827</v>
          </cell>
          <cell r="AG28">
            <v>485838</v>
          </cell>
          <cell r="AH28">
            <v>539724</v>
          </cell>
          <cell r="AI28">
            <v>496011</v>
          </cell>
          <cell r="AJ28">
            <v>537607</v>
          </cell>
          <cell r="AK28">
            <v>479381</v>
          </cell>
          <cell r="AL28">
            <v>506010</v>
          </cell>
          <cell r="AM28">
            <v>443885</v>
          </cell>
        </row>
        <row r="29">
          <cell r="C29">
            <v>28119</v>
          </cell>
          <cell r="D29">
            <v>31804</v>
          </cell>
          <cell r="E29">
            <v>37820</v>
          </cell>
          <cell r="F29">
            <v>45723</v>
          </cell>
          <cell r="G29">
            <v>96107</v>
          </cell>
          <cell r="H29">
            <v>50784</v>
          </cell>
          <cell r="I29">
            <v>52075</v>
          </cell>
          <cell r="J29">
            <v>53027</v>
          </cell>
          <cell r="K29">
            <v>56935</v>
          </cell>
          <cell r="L29">
            <v>62988</v>
          </cell>
          <cell r="M29">
            <v>64312</v>
          </cell>
          <cell r="N29">
            <v>66318</v>
          </cell>
          <cell r="O29">
            <v>75501</v>
          </cell>
          <cell r="P29">
            <v>82772</v>
          </cell>
          <cell r="Q29">
            <v>85527</v>
          </cell>
          <cell r="R29">
            <v>95445</v>
          </cell>
          <cell r="S29">
            <v>101867</v>
          </cell>
          <cell r="T29">
            <v>100778</v>
          </cell>
          <cell r="U29">
            <v>116069</v>
          </cell>
          <cell r="V29">
            <v>118164</v>
          </cell>
          <cell r="W29">
            <v>129495</v>
          </cell>
          <cell r="X29">
            <v>136386</v>
          </cell>
          <cell r="Y29">
            <v>153902</v>
          </cell>
          <cell r="Z29">
            <v>159420</v>
          </cell>
          <cell r="AA29">
            <v>195783</v>
          </cell>
          <cell r="AB29">
            <v>220892</v>
          </cell>
          <cell r="AC29">
            <v>267348</v>
          </cell>
          <cell r="AD29">
            <v>298794</v>
          </cell>
          <cell r="AE29">
            <v>444149</v>
          </cell>
          <cell r="AF29">
            <v>395720</v>
          </cell>
          <cell r="AG29">
            <v>395437</v>
          </cell>
          <cell r="AH29">
            <v>451543</v>
          </cell>
          <cell r="AI29">
            <v>432825</v>
          </cell>
          <cell r="AJ29">
            <v>549293</v>
          </cell>
          <cell r="AK29">
            <v>480885</v>
          </cell>
          <cell r="AL29">
            <v>746187</v>
          </cell>
          <cell r="AM29">
            <v>471260</v>
          </cell>
        </row>
        <row r="31">
          <cell r="AE31">
            <v>0</v>
          </cell>
          <cell r="AF31">
            <v>35961</v>
          </cell>
          <cell r="AG31">
            <v>1619</v>
          </cell>
          <cell r="AH31">
            <v>8991</v>
          </cell>
          <cell r="AI31">
            <v>0</v>
          </cell>
          <cell r="AJ31">
            <v>0</v>
          </cell>
          <cell r="AK31">
            <v>0</v>
          </cell>
          <cell r="AL31">
            <v>0</v>
          </cell>
          <cell r="AM31">
            <v>0</v>
          </cell>
          <cell r="AV31">
            <v>46571</v>
          </cell>
        </row>
        <row r="32">
          <cell r="AE32">
            <v>26664</v>
          </cell>
          <cell r="AF32">
            <v>39389</v>
          </cell>
          <cell r="AG32">
            <v>37361</v>
          </cell>
          <cell r="AH32">
            <v>35344</v>
          </cell>
          <cell r="AI32">
            <v>37087</v>
          </cell>
          <cell r="AJ32">
            <v>36865</v>
          </cell>
          <cell r="AK32">
            <v>56965</v>
          </cell>
          <cell r="AL32">
            <v>43127</v>
          </cell>
          <cell r="AM32">
            <v>43282</v>
          </cell>
          <cell r="AV32">
            <v>138758</v>
          </cell>
        </row>
        <row r="33">
          <cell r="C33">
            <v>120635</v>
          </cell>
          <cell r="D33">
            <v>118416</v>
          </cell>
          <cell r="E33">
            <v>148527</v>
          </cell>
          <cell r="F33">
            <v>156910</v>
          </cell>
          <cell r="G33">
            <v>207373</v>
          </cell>
          <cell r="H33">
            <v>176319</v>
          </cell>
          <cell r="I33">
            <v>182296</v>
          </cell>
          <cell r="J33">
            <v>180503</v>
          </cell>
          <cell r="K33">
            <v>187513</v>
          </cell>
          <cell r="L33">
            <v>219653</v>
          </cell>
          <cell r="M33">
            <v>233507</v>
          </cell>
          <cell r="N33">
            <v>252839</v>
          </cell>
          <cell r="O33">
            <v>276162</v>
          </cell>
          <cell r="P33">
            <v>318463</v>
          </cell>
          <cell r="Q33">
            <v>362527</v>
          </cell>
          <cell r="R33">
            <v>383162</v>
          </cell>
          <cell r="S33">
            <v>418796</v>
          </cell>
          <cell r="T33">
            <v>466688</v>
          </cell>
          <cell r="U33">
            <v>467943</v>
          </cell>
          <cell r="V33">
            <v>509701</v>
          </cell>
          <cell r="W33">
            <v>628789</v>
          </cell>
          <cell r="X33">
            <v>619815</v>
          </cell>
          <cell r="Y33">
            <v>745113</v>
          </cell>
          <cell r="Z33">
            <v>758507</v>
          </cell>
          <cell r="AA33">
            <v>895766</v>
          </cell>
          <cell r="AB33">
            <v>1016069</v>
          </cell>
          <cell r="AC33">
            <v>1110219</v>
          </cell>
          <cell r="AD33">
            <v>1236657</v>
          </cell>
          <cell r="AE33">
            <v>1521749</v>
          </cell>
          <cell r="AF33">
            <v>1683421</v>
          </cell>
          <cell r="AG33">
            <v>1615878</v>
          </cell>
          <cell r="AH33">
            <v>1795376</v>
          </cell>
          <cell r="AI33">
            <v>1720756</v>
          </cell>
          <cell r="AJ33">
            <v>1998208</v>
          </cell>
          <cell r="AK33">
            <v>1908357</v>
          </cell>
          <cell r="AL33">
            <v>2156404</v>
          </cell>
          <cell r="AM33">
            <v>1844730</v>
          </cell>
        </row>
        <row r="34">
          <cell r="AE34">
            <v>-226789</v>
          </cell>
          <cell r="AF34">
            <v>-213773</v>
          </cell>
          <cell r="AG34">
            <v>-48789</v>
          </cell>
          <cell r="AH34">
            <v>-135181</v>
          </cell>
          <cell r="AI34">
            <v>-6172</v>
          </cell>
          <cell r="AJ34">
            <v>-132107</v>
          </cell>
          <cell r="AK34">
            <v>-9908</v>
          </cell>
          <cell r="AL34">
            <v>-130652</v>
          </cell>
          <cell r="AM34">
            <v>249743</v>
          </cell>
          <cell r="AV34">
            <v>-624532</v>
          </cell>
          <cell r="AW34">
            <v>-278839</v>
          </cell>
        </row>
        <row r="36">
          <cell r="AM36">
            <v>-18745</v>
          </cell>
        </row>
        <row r="37">
          <cell r="AM37">
            <v>-237824</v>
          </cell>
        </row>
        <row r="39">
          <cell r="AM39">
            <v>35492</v>
          </cell>
        </row>
        <row r="42">
          <cell r="C42">
            <v>-47978</v>
          </cell>
          <cell r="D42">
            <v>-29620</v>
          </cell>
          <cell r="E42">
            <v>-53930</v>
          </cell>
          <cell r="F42">
            <v>-48289</v>
          </cell>
          <cell r="G42">
            <v>-96755</v>
          </cell>
          <cell r="H42">
            <v>-27345</v>
          </cell>
          <cell r="I42">
            <v>-32323</v>
          </cell>
          <cell r="J42">
            <v>-15167</v>
          </cell>
          <cell r="K42">
            <v>-15090</v>
          </cell>
          <cell r="L42">
            <v>-15962</v>
          </cell>
          <cell r="M42">
            <v>-16098</v>
          </cell>
          <cell r="N42">
            <v>-15663</v>
          </cell>
          <cell r="O42">
            <v>-23986</v>
          </cell>
          <cell r="P42">
            <v>-5906</v>
          </cell>
          <cell r="Q42">
            <v>19643</v>
          </cell>
          <cell r="R42">
            <v>-28204</v>
          </cell>
          <cell r="S42">
            <v>-38151</v>
          </cell>
          <cell r="T42">
            <v>-6740</v>
          </cell>
          <cell r="U42">
            <v>29397</v>
          </cell>
          <cell r="V42">
            <v>390940</v>
          </cell>
          <cell r="W42">
            <v>-105891</v>
          </cell>
          <cell r="X42">
            <v>-11478</v>
          </cell>
          <cell r="Y42">
            <v>36515</v>
          </cell>
          <cell r="Z42">
            <v>293959</v>
          </cell>
          <cell r="AA42">
            <v>39006</v>
          </cell>
          <cell r="AB42">
            <v>203680</v>
          </cell>
          <cell r="AC42">
            <v>-2876</v>
          </cell>
          <cell r="AD42">
            <v>-80986</v>
          </cell>
          <cell r="AE42">
            <v>-207363</v>
          </cell>
          <cell r="AF42">
            <v>-209277</v>
          </cell>
          <cell r="AG42">
            <v>-18744</v>
          </cell>
          <cell r="AH42">
            <v>-117621</v>
          </cell>
          <cell r="AI42">
            <v>-19326</v>
          </cell>
          <cell r="AJ42">
            <v>-125842</v>
          </cell>
          <cell r="AK42">
            <v>-33760</v>
          </cell>
          <cell r="AL42">
            <v>157804</v>
          </cell>
          <cell r="AM42">
            <v>470820</v>
          </cell>
        </row>
        <row r="43">
          <cell r="AB43">
            <v>-343</v>
          </cell>
          <cell r="AC43">
            <v>-2960</v>
          </cell>
          <cell r="AE43">
            <v>-3164</v>
          </cell>
          <cell r="AF43">
            <v>-1263</v>
          </cell>
          <cell r="AG43">
            <v>-4033</v>
          </cell>
          <cell r="AH43">
            <v>-3798</v>
          </cell>
          <cell r="AI43">
            <v>-2488</v>
          </cell>
          <cell r="AJ43">
            <v>-3336</v>
          </cell>
          <cell r="AK43">
            <v>-4806</v>
          </cell>
          <cell r="AL43">
            <v>-20266</v>
          </cell>
          <cell r="AM43">
            <v>-1185</v>
          </cell>
        </row>
        <row r="44">
          <cell r="C44">
            <v>-47978</v>
          </cell>
          <cell r="D44">
            <v>-29620</v>
          </cell>
          <cell r="E44">
            <v>-53930</v>
          </cell>
          <cell r="F44">
            <v>-48289</v>
          </cell>
          <cell r="G44">
            <v>-96755</v>
          </cell>
          <cell r="H44">
            <v>-27345</v>
          </cell>
          <cell r="I44">
            <v>-32323</v>
          </cell>
          <cell r="J44">
            <v>-15167</v>
          </cell>
          <cell r="K44">
            <v>-15090</v>
          </cell>
          <cell r="L44">
            <v>-15962</v>
          </cell>
          <cell r="M44">
            <v>-16098</v>
          </cell>
          <cell r="N44">
            <v>-15663</v>
          </cell>
          <cell r="O44">
            <v>-23986</v>
          </cell>
          <cell r="P44">
            <v>-5906</v>
          </cell>
          <cell r="Q44">
            <v>19643</v>
          </cell>
          <cell r="R44">
            <v>-28204</v>
          </cell>
          <cell r="S44">
            <v>-38151</v>
          </cell>
          <cell r="T44">
            <v>-6740</v>
          </cell>
          <cell r="U44">
            <v>29397</v>
          </cell>
          <cell r="V44">
            <v>390940</v>
          </cell>
          <cell r="W44">
            <v>-105891</v>
          </cell>
          <cell r="X44">
            <v>-11478</v>
          </cell>
          <cell r="Y44">
            <v>36515</v>
          </cell>
          <cell r="Z44">
            <v>293959</v>
          </cell>
          <cell r="AA44">
            <v>39006</v>
          </cell>
          <cell r="AB44">
            <v>204023</v>
          </cell>
          <cell r="AC44">
            <v>84</v>
          </cell>
          <cell r="AE44">
            <v>-204199</v>
          </cell>
          <cell r="AF44">
            <v>-208014</v>
          </cell>
          <cell r="AG44">
            <v>-14711</v>
          </cell>
          <cell r="AH44">
            <v>-113823</v>
          </cell>
          <cell r="AI44">
            <v>-16838</v>
          </cell>
          <cell r="AJ44">
            <v>-122506</v>
          </cell>
          <cell r="AK44">
            <v>-28954</v>
          </cell>
          <cell r="AL44">
            <v>178070</v>
          </cell>
          <cell r="AM44">
            <v>472005</v>
          </cell>
        </row>
      </sheetData>
      <sheetData sheetId="2"/>
      <sheetData sheetId="3"/>
      <sheetData sheetId="4"/>
      <sheetData sheetId="5"/>
      <sheetData sheetId="6"/>
      <sheetData sheetId="7"/>
      <sheetData sheetId="8">
        <row r="25">
          <cell r="C25">
            <v>4165</v>
          </cell>
          <cell r="D25">
            <v>3883</v>
          </cell>
          <cell r="E25">
            <v>3428</v>
          </cell>
          <cell r="F25">
            <v>4533</v>
          </cell>
          <cell r="G25">
            <v>5229</v>
          </cell>
          <cell r="H25">
            <v>5593</v>
          </cell>
          <cell r="I25">
            <v>6205</v>
          </cell>
          <cell r="J25">
            <v>1893</v>
          </cell>
        </row>
      </sheetData>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Master"/>
      <sheetName val="Snaps"/>
      <sheetName val="Valuation"/>
      <sheetName val="Summary"/>
      <sheetName val="Notes"/>
      <sheetName val="Guidance"/>
      <sheetName val="Consensus"/>
      <sheetName val="Pricing"/>
      <sheetName val="Analysis"/>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ster"/>
      <sheetName val="Fixed"/>
      <sheetName val="ConsQ107"/>
      <sheetName val="Interims_IFRS"/>
      <sheetName val="Mobile_new"/>
      <sheetName val="Analysis"/>
      <sheetName val="Interims"/>
      <sheetName val="Pen modeller"/>
      <sheetName val="Valuation"/>
      <sheetName val="George"/>
      <sheetName val="SOP"/>
      <sheetName val="Graphs"/>
      <sheetName val="quarterly"/>
      <sheetName val="Mob Norway"/>
      <sheetName val="Thai"/>
      <sheetName val="Kyiv"/>
      <sheetName val="Gram"/>
      <sheetName val="Digi"/>
      <sheetName val="Sweden"/>
      <sheetName val="Pak"/>
      <sheetName val="networks II - OLD"/>
      <sheetName val="Sonofon"/>
      <sheetName val="Pannon"/>
      <sheetName val="Serbia"/>
      <sheetName val="GDP sense check"/>
      <sheetName val="Other unts"/>
      <sheetName val="2003 deals"/>
      <sheetName val="changes q32003"/>
      <sheetName val="Notes"/>
      <sheetName val="ITU inputs for mobile"/>
      <sheetName val="buyback"/>
      <sheetName val="restated prior years"/>
      <sheetName val="Industry Model"/>
      <sheetName val="Debt"/>
      <sheetName val="Debt ratios"/>
      <sheetName val="I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ion"/>
      <sheetName val="Group"/>
      <sheetName val="Quarterlies"/>
      <sheetName val="Valuation"/>
      <sheetName val="Wireline"/>
      <sheetName val="Market"/>
      <sheetName val="Outpayments"/>
      <sheetName val="Sheet1"/>
      <sheetName val="Global Services"/>
      <sheetName val="FRS17"/>
      <sheetName val="George"/>
      <sheetName val="Cost Analy"/>
      <sheetName val="charts"/>
      <sheetName val="questions"/>
      <sheetName val="IM"/>
      <sheetName val="Debt"/>
      <sheetName val="debt 20F"/>
      <sheetName val="Debt ratios"/>
      <sheetName val="Charts Jan 05"/>
    </sheetNames>
    <sheetDataSet>
      <sheetData sheetId="0"/>
      <sheetData sheetId="1"/>
      <sheetData sheetId="2"/>
      <sheetData sheetId="3"/>
      <sheetData sheetId="4"/>
      <sheetData sheetId="5" refreshError="1"/>
      <sheetData sheetId="6"/>
      <sheetData sheetId="7"/>
      <sheetData sheetId="8"/>
      <sheetData sheetId="9"/>
      <sheetData sheetId="10"/>
      <sheetData sheetId="11"/>
      <sheetData sheetId="12"/>
      <sheetData sheetId="13"/>
      <sheetData sheetId="14" refreshError="1">
        <row r="12">
          <cell r="K12" t="str">
            <v>UKP millions</v>
          </cell>
          <cell r="L12" t="str">
            <v>v3</v>
          </cell>
          <cell r="M12">
            <v>38008.59294386574</v>
          </cell>
        </row>
        <row r="13">
          <cell r="K13" t="str">
            <v>UKP millions</v>
          </cell>
          <cell r="L13" t="str">
            <v>v3</v>
          </cell>
          <cell r="M13">
            <v>38008.59294386574</v>
          </cell>
        </row>
        <row r="14">
          <cell r="K14" t="str">
            <v>UKP millions</v>
          </cell>
          <cell r="L14" t="str">
            <v>v3</v>
          </cell>
          <cell r="M14">
            <v>38008.59294386574</v>
          </cell>
          <cell r="AA14">
            <v>12387.769999999999</v>
          </cell>
          <cell r="AB14">
            <v>13370</v>
          </cell>
          <cell r="AC14">
            <v>14067.191011100091</v>
          </cell>
          <cell r="AD14">
            <v>13817.320772919136</v>
          </cell>
          <cell r="AE14">
            <v>13809.68496666932</v>
          </cell>
          <cell r="AF14">
            <v>14082.449148150023</v>
          </cell>
          <cell r="AG14">
            <v>14129.228105830436</v>
          </cell>
          <cell r="AH14">
            <v>14140.064355242996</v>
          </cell>
          <cell r="AI14">
            <v>14087.20710586432</v>
          </cell>
          <cell r="AJ14">
            <v>14021.5411091519</v>
          </cell>
          <cell r="AK14">
            <v>13940.313693105927</v>
          </cell>
          <cell r="AL14">
            <v>13823.741864644662</v>
          </cell>
        </row>
        <row r="15">
          <cell r="K15" t="str">
            <v>UKP millions</v>
          </cell>
          <cell r="L15" t="str">
            <v>v3</v>
          </cell>
          <cell r="M15">
            <v>38008.59294386574</v>
          </cell>
          <cell r="AA15">
            <v>344.75</v>
          </cell>
          <cell r="AB15">
            <v>361.17999999999984</v>
          </cell>
          <cell r="AC15">
            <v>330.4422676171057</v>
          </cell>
          <cell r="AD15">
            <v>394.19119123862538</v>
          </cell>
          <cell r="AE15">
            <v>354.05332148453499</v>
          </cell>
          <cell r="AF15">
            <v>162.16521066052019</v>
          </cell>
          <cell r="AG15">
            <v>124.76613676321813</v>
          </cell>
          <cell r="AH15">
            <v>167.77386253554914</v>
          </cell>
          <cell r="AI15">
            <v>194.12031483954661</v>
          </cell>
          <cell r="AJ15">
            <v>214.03415076793772</v>
          </cell>
          <cell r="AK15">
            <v>226.06293048617135</v>
          </cell>
          <cell r="AL15">
            <v>226.34094569312174</v>
          </cell>
        </row>
        <row r="16">
          <cell r="K16" t="str">
            <v>UKP millions</v>
          </cell>
          <cell r="L16" t="str">
            <v>v3</v>
          </cell>
          <cell r="M16">
            <v>38008.59294386574</v>
          </cell>
        </row>
        <row r="17">
          <cell r="K17" t="str">
            <v>UKP millions</v>
          </cell>
          <cell r="L17" t="str">
            <v>v3</v>
          </cell>
          <cell r="M17">
            <v>38008.59294386574</v>
          </cell>
          <cell r="W17">
            <v>721.7593283582089</v>
          </cell>
          <cell r="X17">
            <v>810.6343283582089</v>
          </cell>
          <cell r="Y17">
            <v>1081.6809701492537</v>
          </cell>
          <cell r="Z17">
            <v>1535.1940298507461</v>
          </cell>
          <cell r="AA17">
            <v>1941.75</v>
          </cell>
          <cell r="AB17">
            <v>1898.57</v>
          </cell>
          <cell r="AC17">
            <v>1769.3858</v>
          </cell>
          <cell r="AD17">
            <v>1663.2226519999999</v>
          </cell>
          <cell r="AE17">
            <v>1587.9857739199999</v>
          </cell>
          <cell r="AF17">
            <v>1524.4663429631996</v>
          </cell>
          <cell r="AG17">
            <v>1463.4876892446719</v>
          </cell>
          <cell r="AH17">
            <v>1404.9481816748851</v>
          </cell>
          <cell r="AI17">
            <v>1348.7502544078893</v>
          </cell>
          <cell r="AJ17">
            <v>1294.8002442315737</v>
          </cell>
          <cell r="AK17">
            <v>1243.0082344623108</v>
          </cell>
          <cell r="AL17">
            <v>1193.2879050838183</v>
          </cell>
        </row>
        <row r="18">
          <cell r="K18" t="str">
            <v>UKP millions</v>
          </cell>
          <cell r="L18" t="str">
            <v>v3</v>
          </cell>
          <cell r="M18">
            <v>38008.59294386574</v>
          </cell>
          <cell r="W18">
            <v>448.97867803837971</v>
          </cell>
          <cell r="X18">
            <v>504.26439232409399</v>
          </cell>
          <cell r="Y18">
            <v>672.87206823027725</v>
          </cell>
          <cell r="Z18">
            <v>954.98507462686575</v>
          </cell>
          <cell r="AA18">
            <v>1239.75</v>
          </cell>
          <cell r="AB18">
            <v>1309</v>
          </cell>
          <cell r="AC18">
            <v>1279.5475000000001</v>
          </cell>
          <cell r="AD18">
            <v>1241.161075</v>
          </cell>
          <cell r="AE18">
            <v>1203.9262427499998</v>
          </cell>
          <cell r="AF18">
            <v>1194.6889569999998</v>
          </cell>
          <cell r="AG18">
            <v>1194.6889569999998</v>
          </cell>
          <cell r="AH18">
            <v>1194.6889569999998</v>
          </cell>
          <cell r="AI18">
            <v>1194.6889569999998</v>
          </cell>
          <cell r="AJ18">
            <v>1194.6889569999998</v>
          </cell>
          <cell r="AK18">
            <v>1194.6889569999998</v>
          </cell>
          <cell r="AL18">
            <v>1194.6889569999998</v>
          </cell>
        </row>
        <row r="19">
          <cell r="K19" t="str">
            <v>UKP millions</v>
          </cell>
          <cell r="L19" t="str">
            <v>v3</v>
          </cell>
          <cell r="M19">
            <v>38008.59294386574</v>
          </cell>
          <cell r="W19">
            <v>1170.7380063965884</v>
          </cell>
          <cell r="X19">
            <v>1314.8987206823028</v>
          </cell>
          <cell r="Y19">
            <v>1754.553038379531</v>
          </cell>
          <cell r="Z19">
            <v>2490.1791044776119</v>
          </cell>
          <cell r="AA19">
            <v>3181.5</v>
          </cell>
          <cell r="AB19">
            <v>3207.57</v>
          </cell>
          <cell r="AC19">
            <v>3048.9333000000001</v>
          </cell>
          <cell r="AD19">
            <v>2904.3837269999999</v>
          </cell>
          <cell r="AE19">
            <v>2791.91201667</v>
          </cell>
          <cell r="AF19">
            <v>2719.1552999631995</v>
          </cell>
          <cell r="AG19">
            <v>2658.1766462446712</v>
          </cell>
          <cell r="AH19">
            <v>2599.6371386748847</v>
          </cell>
          <cell r="AI19">
            <v>2543.4392114078892</v>
          </cell>
          <cell r="AJ19">
            <v>2489.4892012315736</v>
          </cell>
          <cell r="AK19">
            <v>2437.6971914623105</v>
          </cell>
          <cell r="AL19">
            <v>2387.9768620838181</v>
          </cell>
        </row>
        <row r="20">
          <cell r="K20" t="str">
            <v>UKP millions</v>
          </cell>
          <cell r="L20" t="str">
            <v>v3</v>
          </cell>
          <cell r="M20">
            <v>38008.59294386574</v>
          </cell>
          <cell r="AA20">
            <v>3526.25</v>
          </cell>
          <cell r="AB20">
            <v>3568.75</v>
          </cell>
          <cell r="AC20">
            <v>3379.3755676171058</v>
          </cell>
          <cell r="AD20">
            <v>3298.5749182386253</v>
          </cell>
          <cell r="AE20">
            <v>3145.9653381545349</v>
          </cell>
          <cell r="AF20">
            <v>2881.3205106237197</v>
          </cell>
          <cell r="AG20">
            <v>2782.9427830078894</v>
          </cell>
          <cell r="AH20">
            <v>2767.4110012104338</v>
          </cell>
          <cell r="AI20">
            <v>2737.5595262474358</v>
          </cell>
          <cell r="AJ20">
            <v>2703.5233519995113</v>
          </cell>
          <cell r="AK20">
            <v>2663.7601219484818</v>
          </cell>
          <cell r="AL20">
            <v>2614.3178077769398</v>
          </cell>
        </row>
        <row r="21">
          <cell r="K21" t="str">
            <v>UKP millions</v>
          </cell>
          <cell r="L21" t="str">
            <v>v3</v>
          </cell>
          <cell r="M21">
            <v>38008.59294386574</v>
          </cell>
          <cell r="AA21">
            <v>819.37999999999988</v>
          </cell>
          <cell r="AB21">
            <v>445.25</v>
          </cell>
          <cell r="AC21">
            <v>582.88414993538868</v>
          </cell>
          <cell r="AD21">
            <v>641.48201070082541</v>
          </cell>
          <cell r="AE21">
            <v>699.17210170468263</v>
          </cell>
          <cell r="AF21">
            <v>755.82983505789366</v>
          </cell>
          <cell r="AG21">
            <v>809.80310581909021</v>
          </cell>
          <cell r="AH21">
            <v>853.8763578963642</v>
          </cell>
          <cell r="AI21">
            <v>888.39280864194222</v>
          </cell>
          <cell r="AJ21">
            <v>919.94926442896531</v>
          </cell>
          <cell r="AK21">
            <v>950.43277877101912</v>
          </cell>
          <cell r="AL21">
            <v>975.29784627268793</v>
          </cell>
        </row>
        <row r="22">
          <cell r="K22" t="str">
            <v>UKP millions</v>
          </cell>
          <cell r="L22" t="str">
            <v>v3</v>
          </cell>
          <cell r="M22">
            <v>38008.59294386574</v>
          </cell>
          <cell r="AA22">
            <v>16733.399999999998</v>
          </cell>
          <cell r="AB22">
            <v>17384</v>
          </cell>
          <cell r="AC22">
            <v>18029.450728652584</v>
          </cell>
          <cell r="AD22">
            <v>17757.37770185859</v>
          </cell>
          <cell r="AE22">
            <v>17654.822406528539</v>
          </cell>
          <cell r="AF22">
            <v>17719.599493831636</v>
          </cell>
          <cell r="AG22">
            <v>17721.973994657415</v>
          </cell>
          <cell r="AH22">
            <v>17761.351714349792</v>
          </cell>
          <cell r="AI22">
            <v>17713.159440753698</v>
          </cell>
          <cell r="AJ22">
            <v>17645.013725580375</v>
          </cell>
          <cell r="AK22">
            <v>17554.50659382543</v>
          </cell>
          <cell r="AL22">
            <v>17413.357518694291</v>
          </cell>
        </row>
        <row r="24">
          <cell r="L24" t="str">
            <v>v3</v>
          </cell>
          <cell r="M24">
            <v>38008.59294386574</v>
          </cell>
        </row>
        <row r="25">
          <cell r="L25" t="str">
            <v>v3</v>
          </cell>
          <cell r="M25">
            <v>38008.59294386574</v>
          </cell>
        </row>
        <row r="26">
          <cell r="L26" t="str">
            <v>v3</v>
          </cell>
          <cell r="M26">
            <v>38008.59294386574</v>
          </cell>
          <cell r="AA26" t="e">
            <v>#REF!</v>
          </cell>
          <cell r="AB26" t="e">
            <v>#REF!</v>
          </cell>
          <cell r="AC26" t="e">
            <v>#REF!</v>
          </cell>
          <cell r="AD26" t="e">
            <v>#REF!</v>
          </cell>
          <cell r="AE26" t="e">
            <v>#REF!</v>
          </cell>
          <cell r="AF26" t="e">
            <v>#REF!</v>
          </cell>
          <cell r="AG26" t="e">
            <v>#REF!</v>
          </cell>
          <cell r="AH26" t="e">
            <v>#REF!</v>
          </cell>
          <cell r="AI26" t="e">
            <v>#REF!</v>
          </cell>
          <cell r="AJ26" t="e">
            <v>#REF!</v>
          </cell>
          <cell r="AK26" t="e">
            <v>#REF!</v>
          </cell>
          <cell r="AL26" t="e">
            <v>#REF!</v>
          </cell>
        </row>
        <row r="27">
          <cell r="K27" t="str">
            <v>UKP millions</v>
          </cell>
          <cell r="L27" t="str">
            <v>v3</v>
          </cell>
          <cell r="M27">
            <v>38008.59294386574</v>
          </cell>
        </row>
        <row r="28">
          <cell r="K28" t="str">
            <v>UKP millions</v>
          </cell>
          <cell r="L28" t="str">
            <v>v3</v>
          </cell>
          <cell r="M28">
            <v>38008.59294386574</v>
          </cell>
        </row>
        <row r="29">
          <cell r="K29" t="str">
            <v>UKP millions</v>
          </cell>
          <cell r="L29" t="str">
            <v>v3</v>
          </cell>
          <cell r="M29">
            <v>38008.59294386574</v>
          </cell>
          <cell r="AA29" t="e">
            <v>#REF!</v>
          </cell>
          <cell r="AB29" t="e">
            <v>#REF!</v>
          </cell>
          <cell r="AC29" t="e">
            <v>#REF!</v>
          </cell>
          <cell r="AD29" t="e">
            <v>#REF!</v>
          </cell>
          <cell r="AE29" t="e">
            <v>#REF!</v>
          </cell>
          <cell r="AF29" t="e">
            <v>#REF!</v>
          </cell>
          <cell r="AG29" t="e">
            <v>#REF!</v>
          </cell>
          <cell r="AH29" t="e">
            <v>#REF!</v>
          </cell>
          <cell r="AI29" t="e">
            <v>#REF!</v>
          </cell>
          <cell r="AJ29" t="e">
            <v>#REF!</v>
          </cell>
          <cell r="AK29" t="e">
            <v>#REF!</v>
          </cell>
          <cell r="AL29" t="e">
            <v>#REF!</v>
          </cell>
        </row>
        <row r="31">
          <cell r="L31" t="str">
            <v>v3</v>
          </cell>
          <cell r="M31">
            <v>38008.59294386574</v>
          </cell>
        </row>
        <row r="32">
          <cell r="L32" t="str">
            <v>v3</v>
          </cell>
          <cell r="M32">
            <v>38008.59294386574</v>
          </cell>
        </row>
        <row r="33">
          <cell r="L33" t="str">
            <v>v3</v>
          </cell>
          <cell r="M33">
            <v>38008.59294386574</v>
          </cell>
        </row>
        <row r="34">
          <cell r="L34" t="str">
            <v>v3</v>
          </cell>
          <cell r="M34">
            <v>38008.59294386574</v>
          </cell>
        </row>
        <row r="35">
          <cell r="L35" t="str">
            <v>v3</v>
          </cell>
          <cell r="M35">
            <v>38008.59294386574</v>
          </cell>
          <cell r="W35" t="e">
            <v>#REF!</v>
          </cell>
          <cell r="X35" t="e">
            <v>#REF!</v>
          </cell>
          <cell r="Y35" t="e">
            <v>#REF!</v>
          </cell>
          <cell r="Z35" t="e">
            <v>#REF!</v>
          </cell>
          <cell r="AA35" t="e">
            <v>#REF!</v>
          </cell>
          <cell r="AB35" t="e">
            <v>#REF!</v>
          </cell>
          <cell r="AC35" t="e">
            <v>#REF!</v>
          </cell>
          <cell r="AD35" t="e">
            <v>#REF!</v>
          </cell>
          <cell r="AE35" t="e">
            <v>#REF!</v>
          </cell>
          <cell r="AF35" t="e">
            <v>#REF!</v>
          </cell>
          <cell r="AG35" t="e">
            <v>#REF!</v>
          </cell>
          <cell r="AH35" t="e">
            <v>#REF!</v>
          </cell>
          <cell r="AI35" t="e">
            <v>#REF!</v>
          </cell>
          <cell r="AJ35" t="e">
            <v>#REF!</v>
          </cell>
          <cell r="AK35" t="e">
            <v>#REF!</v>
          </cell>
          <cell r="AL35" t="e">
            <v>#REF!</v>
          </cell>
        </row>
        <row r="36">
          <cell r="L36" t="str">
            <v>v3</v>
          </cell>
          <cell r="M36">
            <v>38008.59294386574</v>
          </cell>
        </row>
        <row r="37">
          <cell r="L37" t="str">
            <v>v3</v>
          </cell>
          <cell r="M37">
            <v>38008.59294386574</v>
          </cell>
        </row>
        <row r="38">
          <cell r="L38" t="str">
            <v>v3</v>
          </cell>
          <cell r="M38">
            <v>38008.59294386574</v>
          </cell>
        </row>
        <row r="39">
          <cell r="L39" t="str">
            <v>v3</v>
          </cell>
          <cell r="M39">
            <v>38008.59294386574</v>
          </cell>
        </row>
        <row r="40">
          <cell r="L40" t="str">
            <v>v3</v>
          </cell>
          <cell r="M40">
            <v>38008.59294386574</v>
          </cell>
        </row>
        <row r="41">
          <cell r="L41" t="str">
            <v>v3</v>
          </cell>
          <cell r="M41">
            <v>38008.59294386574</v>
          </cell>
        </row>
        <row r="42">
          <cell r="L42" t="str">
            <v>v3</v>
          </cell>
          <cell r="M42">
            <v>38008.59294386574</v>
          </cell>
        </row>
        <row r="43">
          <cell r="L43" t="str">
            <v>v3</v>
          </cell>
          <cell r="M43">
            <v>38008.59294386574</v>
          </cell>
          <cell r="W43" t="e">
            <v>#REF!</v>
          </cell>
          <cell r="X43" t="e">
            <v>#REF!</v>
          </cell>
          <cell r="Y43" t="e">
            <v>#REF!</v>
          </cell>
          <cell r="Z43" t="e">
            <v>#REF!</v>
          </cell>
          <cell r="AA43" t="e">
            <v>#REF!</v>
          </cell>
          <cell r="AB43" t="e">
            <v>#REF!</v>
          </cell>
          <cell r="AC43" t="e">
            <v>#REF!</v>
          </cell>
          <cell r="AD43" t="e">
            <v>#REF!</v>
          </cell>
          <cell r="AE43" t="e">
            <v>#REF!</v>
          </cell>
          <cell r="AF43" t="e">
            <v>#REF!</v>
          </cell>
          <cell r="AG43" t="e">
            <v>#REF!</v>
          </cell>
          <cell r="AH43" t="e">
            <v>#REF!</v>
          </cell>
          <cell r="AI43" t="e">
            <v>#REF!</v>
          </cell>
          <cell r="AJ43" t="e">
            <v>#REF!</v>
          </cell>
          <cell r="AK43" t="e">
            <v>#REF!</v>
          </cell>
          <cell r="AL43" t="e">
            <v>#REF!</v>
          </cell>
        </row>
        <row r="44">
          <cell r="L44" t="str">
            <v>v3</v>
          </cell>
          <cell r="M44">
            <v>38008.59294386574</v>
          </cell>
          <cell r="W44">
            <v>26582</v>
          </cell>
          <cell r="X44">
            <v>25816</v>
          </cell>
          <cell r="Y44">
            <v>25703</v>
          </cell>
          <cell r="Z44">
            <v>25306</v>
          </cell>
          <cell r="AA44">
            <v>25036</v>
          </cell>
          <cell r="AB44">
            <v>25402</v>
          </cell>
          <cell r="AC44">
            <v>25345</v>
          </cell>
          <cell r="AD44">
            <v>24885.325423607123</v>
          </cell>
          <cell r="AE44">
            <v>24330.42903683228</v>
          </cell>
          <cell r="AF44">
            <v>23784.142045250574</v>
          </cell>
          <cell r="AG44">
            <v>23246.347750596819</v>
          </cell>
          <cell r="AH44">
            <v>22716.930927631613</v>
          </cell>
          <cell r="AI44">
            <v>22195.777806350652</v>
          </cell>
          <cell r="AJ44">
            <v>21682.776054402548</v>
          </cell>
          <cell r="AK44">
            <v>21177.814759712768</v>
          </cell>
          <cell r="AL44">
            <v>20680.784413311347</v>
          </cell>
        </row>
        <row r="45">
          <cell r="L45" t="str">
            <v>v3</v>
          </cell>
          <cell r="M45">
            <v>38008.59294386574</v>
          </cell>
          <cell r="W45" t="e">
            <v>#REF!</v>
          </cell>
          <cell r="X45" t="e">
            <v>#REF!</v>
          </cell>
          <cell r="Y45" t="e">
            <v>#REF!</v>
          </cell>
          <cell r="Z45" t="e">
            <v>#REF!</v>
          </cell>
          <cell r="AA45" t="e">
            <v>#REF!</v>
          </cell>
          <cell r="AB45" t="e">
            <v>#REF!</v>
          </cell>
          <cell r="AC45" t="e">
            <v>#REF!</v>
          </cell>
          <cell r="AD45" t="e">
            <v>#REF!</v>
          </cell>
          <cell r="AE45" t="e">
            <v>#REF!</v>
          </cell>
          <cell r="AF45" t="e">
            <v>#REF!</v>
          </cell>
          <cell r="AG45" t="e">
            <v>#REF!</v>
          </cell>
          <cell r="AH45" t="e">
            <v>#REF!</v>
          </cell>
          <cell r="AI45" t="e">
            <v>#REF!</v>
          </cell>
          <cell r="AJ45" t="e">
            <v>#REF!</v>
          </cell>
          <cell r="AK45" t="e">
            <v>#REF!</v>
          </cell>
          <cell r="AL45" t="e">
            <v>#REF!</v>
          </cell>
        </row>
        <row r="46">
          <cell r="L46" t="str">
            <v>v3</v>
          </cell>
          <cell r="M46">
            <v>38008.59294386574</v>
          </cell>
          <cell r="W46" t="e">
            <v>#REF!</v>
          </cell>
          <cell r="X46" t="e">
            <v>#REF!</v>
          </cell>
          <cell r="Y46" t="e">
            <v>#REF!</v>
          </cell>
          <cell r="Z46" t="e">
            <v>#REF!</v>
          </cell>
          <cell r="AA46" t="e">
            <v>#REF!</v>
          </cell>
          <cell r="AB46" t="e">
            <v>#REF!</v>
          </cell>
          <cell r="AC46" t="e">
            <v>#REF!</v>
          </cell>
          <cell r="AD46" t="e">
            <v>#REF!</v>
          </cell>
          <cell r="AE46" t="e">
            <v>#REF!</v>
          </cell>
          <cell r="AF46" t="e">
            <v>#REF!</v>
          </cell>
          <cell r="AG46" t="e">
            <v>#REF!</v>
          </cell>
          <cell r="AH46" t="e">
            <v>#REF!</v>
          </cell>
          <cell r="AI46" t="e">
            <v>#REF!</v>
          </cell>
          <cell r="AJ46" t="e">
            <v>#REF!</v>
          </cell>
          <cell r="AK46" t="e">
            <v>#REF!</v>
          </cell>
          <cell r="AL46" t="e">
            <v>#REF!</v>
          </cell>
        </row>
        <row r="48">
          <cell r="L48" t="str">
            <v>v3</v>
          </cell>
          <cell r="M48">
            <v>38008.59294386574</v>
          </cell>
          <cell r="AA48">
            <v>85523</v>
          </cell>
          <cell r="AB48">
            <v>82490</v>
          </cell>
        </row>
      </sheetData>
      <sheetData sheetId="15"/>
      <sheetData sheetId="16"/>
      <sheetData sheetId="17"/>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ront"/>
      <sheetName val="PL"/>
      <sheetName val="IC-PL"/>
      <sheetName val="EXT-INC"/>
      <sheetName val="TRAF-COST"/>
      <sheetName val="INT-traf-cost"/>
      <sheetName val="OWN-WORK-CAP"/>
      <sheetName val="PAYROLL"/>
      <sheetName val="OPR-COST"/>
      <sheetName val="INT-OPR-COST"/>
      <sheetName val="FIN-PL"/>
      <sheetName val="Investments"/>
      <sheetName val="M-BALANCE"/>
      <sheetName val="IC-BAL"/>
      <sheetName val="CASH"/>
      <sheetName val="PROVISIONS"/>
      <sheetName val="EQUITY"/>
      <sheetName val="COMMITMENTS"/>
      <sheetName val="PERS-ADD"/>
      <sheetName val="AQUISITIONS"/>
      <sheetName val="Statistics"/>
      <sheetName val="Definitions"/>
    </sheetNames>
    <sheetDataSet>
      <sheetData sheetId="0">
        <row r="10">
          <cell r="E10" t="str">
            <v>&lt;Code&gt;</v>
          </cell>
        </row>
        <row r="11">
          <cell r="E11" t="str">
            <v>&lt;Name&gt;</v>
          </cell>
        </row>
        <row r="12">
          <cell r="E12" t="str">
            <v>0006</v>
          </cell>
        </row>
        <row r="15">
          <cell r="E15" t="str">
            <v>NOK</v>
          </cell>
        </row>
        <row r="16">
          <cell r="E16">
            <v>36692</v>
          </cell>
        </row>
        <row r="20">
          <cell r="E20" t="str">
            <v>A</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TP"/>
      <sheetName val="P&amp;L"/>
      <sheetName val="BS"/>
      <sheetName val="CF"/>
      <sheetName val="Cons. Revs"/>
      <sheetName val="Prop. Revs"/>
      <sheetName val="Cons. EBITDA"/>
      <sheetName val="Prop. EBITDA"/>
      <sheetName val="EBITDA Margins"/>
      <sheetName val="Capex"/>
      <sheetName val="USA"/>
      <sheetName val="UK"/>
      <sheetName val="Germany"/>
      <sheetName val="Italy"/>
      <sheetName val="J-Phone"/>
      <sheetName val="Spain"/>
      <sheetName val="Ireland"/>
      <sheetName val="Egypt"/>
      <sheetName val="Australia"/>
      <sheetName val="NZ"/>
      <sheetName val="NL"/>
      <sheetName val="Greece"/>
      <sheetName val="Portugal"/>
      <sheetName val="Sweden"/>
      <sheetName val="Switzerland"/>
      <sheetName val="Jap Fixed"/>
      <sheetName val="SFR"/>
      <sheetName val="Belgium"/>
      <sheetName val="Arcor"/>
      <sheetName val="Cegetel7"/>
      <sheetName val="Depreciaton schedule"/>
      <sheetName val="Cash Tax"/>
      <sheetName val="Bill"/>
      <sheetName val="Multipl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BTOW"/>
      <sheetName val="MELI"/>
      <sheetName val="BAI"/>
      <sheetName val="TC"/>
      <sheetName val="QH"/>
      <sheetName val="REN"/>
      <sheetName val="SINA"/>
      <sheetName val="WB"/>
      <sheetName val="CA"/>
      <sheetName val="DNA"/>
      <sheetName val="GR"/>
      <sheetName val="NEX"/>
      <sheetName val="RAK"/>
      <sheetName val="YJP"/>
      <sheetName val="BTOW1"/>
      <sheetName val="MELI1"/>
      <sheetName val="BAI1"/>
      <sheetName val="TC1"/>
      <sheetName val="QH1"/>
      <sheetName val="REN1"/>
      <sheetName val="SINA1"/>
      <sheetName val="WB1"/>
      <sheetName val="CA1"/>
      <sheetName val="DNA1"/>
      <sheetName val="GR1"/>
      <sheetName val="NEX1"/>
      <sheetName val="RAK1"/>
      <sheetName val="YJP1"/>
      <sheetName val="Global comps"/>
      <sheetName val="Consensus data"/>
      <sheetName val="Share prices"/>
    </sheetNames>
    <sheetDataSet>
      <sheetData sheetId="0">
        <row r="84">
          <cell r="C84">
            <v>1.52207</v>
          </cell>
        </row>
        <row r="86">
          <cell r="C86">
            <v>2.2357999999999998</v>
          </cell>
        </row>
        <row r="87">
          <cell r="C87">
            <v>99.71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41">
          <cell r="C41">
            <v>0.39643310566492568</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uslink"/>
    </sheetNames>
    <sheetDataSet>
      <sheetData sheetId="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VEDMENY"/>
      <sheetName val="Omsres"/>
      <sheetName val="BUS SOL Årsverk og ansatte"/>
      <sheetName val="Årsverk og ansatte"/>
      <sheetName val="InvesteringerBUS SOL"/>
      <sheetName val="Investeringer"/>
      <sheetName val="Business Sol"/>
      <sheetName val="Annualiseringstabell"/>
      <sheetName val="Oms.avvik (2)"/>
      <sheetName val="Driftsinntekter"/>
      <sheetName val="Res.avvik (2)"/>
      <sheetName val="Res. før skatt"/>
      <sheetName val="SKILLEARK"/>
      <sheetName val="Årsverk"/>
      <sheetName val="Res. et. felleskost (2)"/>
      <sheetName val=" UTSTYR"/>
      <sheetName val="BD_KOMM."/>
      <sheetName val="BD_KOMM. (2)"/>
      <sheetName val="SI STORK"/>
      <sheetName val=" BASIS"/>
      <sheetName val="DATAN."/>
      <sheetName val="BK_TALE"/>
      <sheetName val=" DKL"/>
      <sheetName val="IDT"/>
      <sheetName val="DR.TJ"/>
      <sheetName val="SENT.ENH"/>
      <sheetName val="TELF.SELSK"/>
      <sheetName val="Elimineringer"/>
      <sheetName val="Res.avvik"/>
      <sheetName val="Oms.avvik"/>
    </sheetNames>
    <sheetDataSet>
      <sheetData sheetId="0"/>
      <sheetData sheetId="1"/>
      <sheetData sheetId="2"/>
      <sheetData sheetId="3"/>
      <sheetData sheetId="4"/>
      <sheetData sheetId="5"/>
      <sheetData sheetId="6">
        <row r="8">
          <cell r="F8" t="str">
            <v>Denne periode</v>
          </cell>
          <cell r="I8" t="str">
            <v>Hittil i år</v>
          </cell>
          <cell r="K8" t="str">
            <v xml:space="preserve">Årsbudsjett </v>
          </cell>
        </row>
        <row r="10">
          <cell r="A10" t="str">
            <v>Mill. kr.</v>
          </cell>
          <cell r="E10" t="str">
            <v>F04</v>
          </cell>
          <cell r="F10" t="str">
            <v>B04</v>
          </cell>
          <cell r="G10" t="str">
            <v>Avvik</v>
          </cell>
          <cell r="H10" t="str">
            <v>F04</v>
          </cell>
          <cell r="I10" t="str">
            <v>B04</v>
          </cell>
          <cell r="J10" t="str">
            <v>Avvik</v>
          </cell>
          <cell r="K10">
            <v>2000</v>
          </cell>
        </row>
        <row r="12">
          <cell r="A12" t="str">
            <v>Eksterne driftsinntekter</v>
          </cell>
          <cell r="E12">
            <v>91.320999999999998</v>
          </cell>
          <cell r="F12">
            <v>136.584</v>
          </cell>
          <cell r="G12">
            <v>-45.263000000000005</v>
          </cell>
          <cell r="H12">
            <v>372.24400000000003</v>
          </cell>
          <cell r="I12">
            <v>486.55200000000002</v>
          </cell>
          <cell r="J12">
            <v>-114.30799999999999</v>
          </cell>
          <cell r="K12">
            <v>1759.3979999999999</v>
          </cell>
        </row>
        <row r="13">
          <cell r="A13" t="str">
            <v>Driftsinntekter innen Telenor</v>
          </cell>
          <cell r="E13">
            <v>81.988</v>
          </cell>
          <cell r="F13">
            <v>119.511</v>
          </cell>
          <cell r="G13">
            <v>-37.522999999999996</v>
          </cell>
          <cell r="H13">
            <v>375.31900000000002</v>
          </cell>
          <cell r="I13">
            <v>459.3</v>
          </cell>
          <cell r="J13">
            <v>-83.980999999999995</v>
          </cell>
          <cell r="K13">
            <v>1552.173</v>
          </cell>
        </row>
        <row r="14">
          <cell r="A14" t="str">
            <v>Driftsinntekter innen Business Solution</v>
          </cell>
          <cell r="E14">
            <v>0</v>
          </cell>
          <cell r="F14">
            <v>0</v>
          </cell>
          <cell r="G14">
            <v>0</v>
          </cell>
          <cell r="H14">
            <v>0</v>
          </cell>
          <cell r="I14">
            <v>0</v>
          </cell>
          <cell r="J14">
            <v>0</v>
          </cell>
          <cell r="K14">
            <v>0</v>
          </cell>
        </row>
        <row r="15">
          <cell r="A15" t="str">
            <v>Gevinst ved salg av VDM og virksomhet eksternt</v>
          </cell>
          <cell r="E15">
            <v>0</v>
          </cell>
          <cell r="F15">
            <v>0</v>
          </cell>
          <cell r="G15">
            <v>0</v>
          </cell>
          <cell r="H15">
            <v>0</v>
          </cell>
          <cell r="I15">
            <v>0</v>
          </cell>
          <cell r="J15">
            <v>0</v>
          </cell>
          <cell r="K15">
            <v>0</v>
          </cell>
        </row>
        <row r="16">
          <cell r="A16" t="str">
            <v>SUM OMSETNING</v>
          </cell>
          <cell r="E16">
            <v>173.309</v>
          </cell>
          <cell r="F16">
            <v>256.09500000000003</v>
          </cell>
          <cell r="G16">
            <v>-82.786000000000001</v>
          </cell>
          <cell r="H16">
            <v>747.5630000000001</v>
          </cell>
          <cell r="I16">
            <v>945.85200000000009</v>
          </cell>
          <cell r="J16">
            <v>-198.28899999999999</v>
          </cell>
          <cell r="K16">
            <v>3311.5709999999999</v>
          </cell>
        </row>
        <row r="18">
          <cell r="A18" t="str">
            <v>Eksterne vare- og trafikkostnader</v>
          </cell>
          <cell r="E18">
            <v>82.016000000000005</v>
          </cell>
          <cell r="F18">
            <v>139.30600000000001</v>
          </cell>
          <cell r="G18">
            <v>57.290000000000006</v>
          </cell>
          <cell r="H18">
            <v>378.68400000000003</v>
          </cell>
          <cell r="I18">
            <v>517.95600000000002</v>
          </cell>
          <cell r="J18">
            <v>139.27199999999999</v>
          </cell>
          <cell r="K18">
            <v>1788.82</v>
          </cell>
        </row>
        <row r="19">
          <cell r="A19" t="str">
            <v>Vare- og trafikkostnad innen Telenor</v>
          </cell>
          <cell r="E19">
            <v>27.591999999999999</v>
          </cell>
          <cell r="F19">
            <v>30.11</v>
          </cell>
          <cell r="G19">
            <v>2.5180000000000007</v>
          </cell>
          <cell r="H19">
            <v>123.145</v>
          </cell>
          <cell r="I19">
            <v>115.96299999999999</v>
          </cell>
          <cell r="J19">
            <v>-7.1820000000000022</v>
          </cell>
          <cell r="K19">
            <v>393.41800000000001</v>
          </cell>
        </row>
        <row r="20">
          <cell r="A20" t="str">
            <v>Vare- og trafikkostnad innen Business Solution</v>
          </cell>
          <cell r="E20">
            <v>0</v>
          </cell>
          <cell r="F20">
            <v>0</v>
          </cell>
          <cell r="G20">
            <v>0</v>
          </cell>
          <cell r="H20">
            <v>0</v>
          </cell>
          <cell r="I20">
            <v>0</v>
          </cell>
          <cell r="J20">
            <v>0</v>
          </cell>
          <cell r="K20">
            <v>0</v>
          </cell>
        </row>
        <row r="21">
          <cell r="A21" t="str">
            <v>SUM VAREKOST</v>
          </cell>
          <cell r="E21">
            <v>109.608</v>
          </cell>
          <cell r="F21">
            <v>169.416</v>
          </cell>
          <cell r="G21">
            <v>59.808000000000007</v>
          </cell>
          <cell r="H21">
            <v>501.82900000000001</v>
          </cell>
          <cell r="I21">
            <v>633.91899999999998</v>
          </cell>
          <cell r="J21">
            <v>132.08999999999997</v>
          </cell>
          <cell r="K21">
            <v>2182.2379999999998</v>
          </cell>
        </row>
        <row r="23">
          <cell r="A23" t="str">
            <v>DEKNINGSBIDRAG</v>
          </cell>
          <cell r="E23">
            <v>63.700999999999993</v>
          </cell>
          <cell r="F23">
            <v>86.67900000000003</v>
          </cell>
          <cell r="G23">
            <v>-22.978000000000037</v>
          </cell>
          <cell r="H23">
            <v>245.73400000000009</v>
          </cell>
          <cell r="I23">
            <v>311.93300000000011</v>
          </cell>
          <cell r="J23">
            <v>-66.199000000000012</v>
          </cell>
          <cell r="K23">
            <v>1129.3330000000001</v>
          </cell>
        </row>
        <row r="25">
          <cell r="A25" t="str">
            <v>Beh.endring egentilvirkede amidl</v>
          </cell>
          <cell r="E25">
            <v>0</v>
          </cell>
          <cell r="F25">
            <v>0</v>
          </cell>
          <cell r="G25">
            <v>0</v>
          </cell>
          <cell r="H25">
            <v>0</v>
          </cell>
          <cell r="I25">
            <v>0</v>
          </cell>
          <cell r="J25">
            <v>0</v>
          </cell>
          <cell r="K25">
            <v>0</v>
          </cell>
        </row>
        <row r="26">
          <cell r="A26" t="str">
            <v>Lønns- og personalkostnader eksternt</v>
          </cell>
          <cell r="E26">
            <v>56.027000000000001</v>
          </cell>
          <cell r="F26">
            <v>61.064999999999998</v>
          </cell>
          <cell r="G26">
            <v>5.0379999999999967</v>
          </cell>
          <cell r="H26">
            <v>224.292</v>
          </cell>
          <cell r="I26">
            <v>248.75700000000001</v>
          </cell>
          <cell r="J26">
            <v>24.465000000000003</v>
          </cell>
          <cell r="K26">
            <v>726.31299999999999</v>
          </cell>
        </row>
        <row r="27">
          <cell r="A27" t="str">
            <v>Lønns- og personalkostnader innen Telenor</v>
          </cell>
          <cell r="E27">
            <v>-5.7000000000000002E-2</v>
          </cell>
          <cell r="F27">
            <v>0.94799999999999995</v>
          </cell>
          <cell r="G27">
            <v>1.0049999999999999</v>
          </cell>
          <cell r="H27">
            <v>3.2949999999999999</v>
          </cell>
          <cell r="I27">
            <v>3.746</v>
          </cell>
          <cell r="J27">
            <v>0.45100000000000007</v>
          </cell>
          <cell r="K27">
            <v>11.271000000000001</v>
          </cell>
        </row>
        <row r="28">
          <cell r="A28" t="str">
            <v>Lønns- og personalkostnader innen Business Solution</v>
          </cell>
          <cell r="E28">
            <v>0</v>
          </cell>
          <cell r="F28">
            <v>0</v>
          </cell>
          <cell r="G28">
            <v>0</v>
          </cell>
          <cell r="H28">
            <v>0</v>
          </cell>
          <cell r="I28">
            <v>0</v>
          </cell>
          <cell r="J28">
            <v>0</v>
          </cell>
          <cell r="K28">
            <v>0</v>
          </cell>
        </row>
        <row r="29">
          <cell r="A29" t="str">
            <v>Andre eksterne driftskostnader</v>
          </cell>
          <cell r="E29">
            <v>18.728999999999999</v>
          </cell>
          <cell r="F29">
            <v>23.719000000000001</v>
          </cell>
          <cell r="G29">
            <v>4.990000000000002</v>
          </cell>
          <cell r="H29">
            <v>91.078000000000003</v>
          </cell>
          <cell r="I29">
            <v>105.411</v>
          </cell>
          <cell r="J29">
            <v>14.332999999999998</v>
          </cell>
          <cell r="K29">
            <v>303.50400000000002</v>
          </cell>
        </row>
        <row r="30">
          <cell r="A30" t="str">
            <v>Andre driftskostnader innen Telenor</v>
          </cell>
          <cell r="E30">
            <v>12.3</v>
          </cell>
          <cell r="F30">
            <v>15.862</v>
          </cell>
          <cell r="G30">
            <v>3.5619999999999994</v>
          </cell>
          <cell r="H30">
            <v>56.222999999999999</v>
          </cell>
          <cell r="I30">
            <v>58.762</v>
          </cell>
          <cell r="J30">
            <v>2.5390000000000015</v>
          </cell>
          <cell r="K30">
            <v>180.798</v>
          </cell>
        </row>
        <row r="31">
          <cell r="A31" t="str">
            <v>Andre driftskostnader innen Business Solution</v>
          </cell>
          <cell r="E31">
            <v>0</v>
          </cell>
          <cell r="F31">
            <v>0</v>
          </cell>
          <cell r="G31">
            <v>0</v>
          </cell>
          <cell r="H31">
            <v>0</v>
          </cell>
          <cell r="I31">
            <v>0</v>
          </cell>
          <cell r="J31">
            <v>0</v>
          </cell>
          <cell r="K31">
            <v>0</v>
          </cell>
        </row>
        <row r="32">
          <cell r="A32" t="str">
            <v>Avskrivninger</v>
          </cell>
          <cell r="E32">
            <v>5.12</v>
          </cell>
          <cell r="F32">
            <v>6.6550000000000002</v>
          </cell>
          <cell r="G32">
            <v>1.5350000000000001</v>
          </cell>
          <cell r="H32">
            <v>20.376999999999999</v>
          </cell>
          <cell r="I32">
            <v>25.831</v>
          </cell>
          <cell r="J32">
            <v>5.4540000000000006</v>
          </cell>
          <cell r="K32">
            <v>84.128</v>
          </cell>
        </row>
        <row r="33">
          <cell r="A33" t="str">
            <v>Nedskrivninger</v>
          </cell>
        </row>
        <row r="34">
          <cell r="A34" t="str">
            <v>Tap ved salg av VDM og virksomhet eksternt</v>
          </cell>
        </row>
        <row r="35">
          <cell r="A35" t="str">
            <v>Sum Andre driftskostnader</v>
          </cell>
          <cell r="E35">
            <v>92.119</v>
          </cell>
          <cell r="F35">
            <v>108.249</v>
          </cell>
          <cell r="G35">
            <v>16.129999999999995</v>
          </cell>
          <cell r="H35">
            <v>395.26499999999999</v>
          </cell>
          <cell r="I35">
            <v>442.50700000000001</v>
          </cell>
          <cell r="J35">
            <v>47.242000000000004</v>
          </cell>
          <cell r="K35">
            <v>1306.0139999999999</v>
          </cell>
        </row>
        <row r="37">
          <cell r="A37" t="str">
            <v>DRIFTSRESULTAT</v>
          </cell>
          <cell r="E37">
            <v>-28.418000000000006</v>
          </cell>
          <cell r="F37">
            <v>-21.569999999999965</v>
          </cell>
          <cell r="G37">
            <v>-6.8480000000000416</v>
          </cell>
          <cell r="H37">
            <v>-149.53099999999989</v>
          </cell>
          <cell r="I37">
            <v>-130.5739999999999</v>
          </cell>
          <cell r="J37">
            <v>-18.956999999999994</v>
          </cell>
          <cell r="K37">
            <v>-176.68099999999981</v>
          </cell>
        </row>
        <row r="39">
          <cell r="A39" t="str">
            <v>Andel resultat tilknyttede selskaper</v>
          </cell>
          <cell r="E39">
            <v>-0.99299999999999999</v>
          </cell>
          <cell r="F39">
            <v>-0.16900000000000001</v>
          </cell>
          <cell r="G39">
            <v>-0.82399999999999995</v>
          </cell>
          <cell r="H39">
            <v>-3.2850000000000001</v>
          </cell>
          <cell r="I39">
            <v>-0.222</v>
          </cell>
          <cell r="J39">
            <v>-3.0630000000000002</v>
          </cell>
          <cell r="K39">
            <v>-4.4160000000000004</v>
          </cell>
        </row>
        <row r="41">
          <cell r="A41" t="str">
            <v>Eksterne finansinntekter</v>
          </cell>
          <cell r="E41">
            <v>0.85799999999999998</v>
          </cell>
          <cell r="F41">
            <v>0.03</v>
          </cell>
          <cell r="G41">
            <v>0.82799999999999996</v>
          </cell>
          <cell r="H41">
            <v>1.841</v>
          </cell>
          <cell r="I41">
            <v>0.12</v>
          </cell>
          <cell r="J41">
            <v>1.7210000000000001</v>
          </cell>
          <cell r="K41">
            <v>0.36</v>
          </cell>
        </row>
        <row r="42">
          <cell r="A42" t="str">
            <v>Finansinntekter innen Telenor</v>
          </cell>
          <cell r="E42">
            <v>1.8140000000000001</v>
          </cell>
          <cell r="F42">
            <v>0.66200000000000003</v>
          </cell>
          <cell r="G42">
            <v>1.1520000000000001</v>
          </cell>
          <cell r="H42">
            <v>6.95</v>
          </cell>
          <cell r="I42">
            <v>2.6459999999999999</v>
          </cell>
          <cell r="J42">
            <v>4.3040000000000003</v>
          </cell>
          <cell r="K42">
            <v>7.9379999999999988</v>
          </cell>
        </row>
        <row r="43">
          <cell r="A43" t="str">
            <v>Gevinst ved salg av finansielle omløpsmidler og anleggsmidler eksternt</v>
          </cell>
          <cell r="E43">
            <v>0</v>
          </cell>
          <cell r="F43">
            <v>0</v>
          </cell>
          <cell r="G43">
            <v>0</v>
          </cell>
          <cell r="H43">
            <v>0</v>
          </cell>
          <cell r="I43">
            <v>0</v>
          </cell>
          <cell r="J43">
            <v>0</v>
          </cell>
          <cell r="K43">
            <v>0</v>
          </cell>
        </row>
        <row r="44">
          <cell r="A44" t="str">
            <v>Eksterne finanskostnader</v>
          </cell>
          <cell r="E44">
            <v>-1.8009999999999999</v>
          </cell>
          <cell r="F44">
            <v>-2.9000000000000001E-2</v>
          </cell>
          <cell r="G44">
            <v>-1.772</v>
          </cell>
          <cell r="H44">
            <v>-5.2569999999999997</v>
          </cell>
          <cell r="I44">
            <v>-0.11799999999999999</v>
          </cell>
          <cell r="J44">
            <v>-5.1389999999999993</v>
          </cell>
          <cell r="K44">
            <v>-0.35499999999999998</v>
          </cell>
        </row>
        <row r="45">
          <cell r="A45" t="str">
            <v>Finanskostnader innen Telenor</v>
          </cell>
          <cell r="E45">
            <v>-0.67900000000000005</v>
          </cell>
          <cell r="F45">
            <v>0</v>
          </cell>
          <cell r="G45">
            <v>-0.67900000000000005</v>
          </cell>
          <cell r="H45">
            <v>-1.7390000000000001</v>
          </cell>
          <cell r="I45">
            <v>0</v>
          </cell>
          <cell r="J45">
            <v>-1.7390000000000001</v>
          </cell>
          <cell r="K45">
            <v>0</v>
          </cell>
        </row>
        <row r="46">
          <cell r="A46" t="str">
            <v>Tap ved salg av finansielle omløpsmidler og anleggsmidler eksternt</v>
          </cell>
          <cell r="E46">
            <v>0</v>
          </cell>
          <cell r="F46">
            <v>0</v>
          </cell>
          <cell r="H46">
            <v>0</v>
          </cell>
          <cell r="I46">
            <v>0</v>
          </cell>
          <cell r="J46">
            <v>0</v>
          </cell>
          <cell r="K46">
            <v>0</v>
          </cell>
        </row>
        <row r="47">
          <cell r="A47" t="str">
            <v>Netto finansposter</v>
          </cell>
          <cell r="E47">
            <v>0.19200000000000017</v>
          </cell>
          <cell r="F47">
            <v>0.66300000000000003</v>
          </cell>
          <cell r="G47">
            <v>-0.47099999999999986</v>
          </cell>
          <cell r="H47">
            <v>1.7950000000000006</v>
          </cell>
          <cell r="I47">
            <v>2.6480000000000001</v>
          </cell>
          <cell r="J47">
            <v>-0.85299999999999954</v>
          </cell>
          <cell r="K47">
            <v>7.9429999999999978</v>
          </cell>
        </row>
        <row r="49">
          <cell r="A49" t="str">
            <v>RESULTAT FØR FORDELTE FELLESKOSTNADER</v>
          </cell>
          <cell r="E49">
            <v>-29.219000000000005</v>
          </cell>
          <cell r="F49">
            <v>-21.075999999999965</v>
          </cell>
          <cell r="G49">
            <v>-8.1430000000000415</v>
          </cell>
          <cell r="H49">
            <v>-151.0209999999999</v>
          </cell>
          <cell r="I49">
            <v>-128.14799999999991</v>
          </cell>
          <cell r="J49">
            <v>-22.87299999999999</v>
          </cell>
        </row>
        <row r="51">
          <cell r="A51" t="str">
            <v>Fordelte felleskostnader</v>
          </cell>
          <cell r="E51">
            <v>0</v>
          </cell>
          <cell r="F51">
            <v>0</v>
          </cell>
          <cell r="G51">
            <v>0</v>
          </cell>
          <cell r="H51">
            <v>0</v>
          </cell>
          <cell r="I51">
            <v>0</v>
          </cell>
          <cell r="J51">
            <v>0</v>
          </cell>
        </row>
        <row r="53">
          <cell r="A53" t="str">
            <v>RESULTAT FØR SKATT</v>
          </cell>
          <cell r="E53">
            <v>-29.219000000000005</v>
          </cell>
          <cell r="F53">
            <v>-21.075999999999965</v>
          </cell>
          <cell r="G53">
            <v>-8.1430000000000415</v>
          </cell>
          <cell r="H53">
            <v>-151.0209999999999</v>
          </cell>
          <cell r="I53">
            <v>-128.14799999999991</v>
          </cell>
          <cell r="J53">
            <v>-22.87299999999999</v>
          </cell>
          <cell r="K53">
            <v>-173.15399999999983</v>
          </cell>
        </row>
        <row r="55">
          <cell r="A55" t="str">
            <v>Skatt</v>
          </cell>
        </row>
        <row r="57">
          <cell r="A57" t="str">
            <v>Minoritetsinteresser</v>
          </cell>
        </row>
        <row r="59">
          <cell r="A59" t="str">
            <v>Resultat etter skatt (årsresultat)</v>
          </cell>
        </row>
        <row r="61">
          <cell r="A61" t="str">
            <v>NØKKELTALL:</v>
          </cell>
        </row>
        <row r="62">
          <cell r="A62" t="str">
            <v>Dekningsgrad</v>
          </cell>
          <cell r="E62">
            <v>0.36755736863059618</v>
          </cell>
          <cell r="F62">
            <v>0.33846424178527507</v>
          </cell>
          <cell r="G62">
            <v>0.27755900756166546</v>
          </cell>
          <cell r="H62">
            <v>0.32871343284780019</v>
          </cell>
          <cell r="I62">
            <v>0.32979049576466518</v>
          </cell>
          <cell r="J62">
            <v>0.33385109612736974</v>
          </cell>
          <cell r="K62">
            <v>0.34102635878862331</v>
          </cell>
        </row>
        <row r="63">
          <cell r="A63" t="str">
            <v>Driftsmargin</v>
          </cell>
          <cell r="E63">
            <v>-0.1639730192892464</v>
          </cell>
          <cell r="F63">
            <v>-8.4226556551279655E-2</v>
          </cell>
          <cell r="G63">
            <v>8.271930036479648E-2</v>
          </cell>
          <cell r="H63">
            <v>-0.20002461331018237</v>
          </cell>
          <cell r="I63">
            <v>-0.13804908167451133</v>
          </cell>
          <cell r="J63">
            <v>9.5602882661166247E-2</v>
          </cell>
          <cell r="K63">
            <v>-5.3352623271552935E-2</v>
          </cell>
        </row>
        <row r="64">
          <cell r="A64" t="str">
            <v>Resultatmargin</v>
          </cell>
          <cell r="E64">
            <v>-0.16859482196539133</v>
          </cell>
          <cell r="F64">
            <v>-8.2297584880610564E-2</v>
          </cell>
          <cell r="G64">
            <v>9.8362041891141519E-2</v>
          </cell>
          <cell r="H64">
            <v>-0.2020177563630087</v>
          </cell>
          <cell r="I64">
            <v>-0.13548419837352979</v>
          </cell>
          <cell r="J64">
            <v>0.11535183494797993</v>
          </cell>
          <cell r="K64">
            <v>-5.2287569857327486E-2</v>
          </cell>
        </row>
        <row r="65">
          <cell r="A65" t="str">
            <v>Resultatmargin etter fordelte kostnader</v>
          </cell>
          <cell r="E65">
            <v>-0.16859482196539133</v>
          </cell>
          <cell r="F65">
            <v>-8.2297584880610564E-2</v>
          </cell>
          <cell r="G65">
            <v>9.8362041891141519E-2</v>
          </cell>
          <cell r="H65">
            <v>-0.2020177563630087</v>
          </cell>
          <cell r="I65">
            <v>-0.13548419837352979</v>
          </cell>
          <cell r="J65">
            <v>0.11535183494797993</v>
          </cell>
          <cell r="K65">
            <v>-5.2287569857327486E-2</v>
          </cell>
        </row>
        <row r="66">
          <cell r="A66" t="str">
            <v>Driftskostnad i % av omsetning 1)</v>
          </cell>
          <cell r="E66">
            <v>0.43134516961034913</v>
          </cell>
          <cell r="F66">
            <v>0.33106464397977309</v>
          </cell>
          <cell r="G66">
            <v>-0.12113159229821466</v>
          </cell>
          <cell r="H66">
            <v>0.42186411044955402</v>
          </cell>
          <cell r="I66">
            <v>0.37444335900331127</v>
          </cell>
          <cell r="J66">
            <v>-0.19566390470474915</v>
          </cell>
          <cell r="K66">
            <v>0.31097536486459149</v>
          </cell>
        </row>
        <row r="67">
          <cell r="A67" t="str">
            <v>Pers.kost pr. årsverk 2) 3)</v>
          </cell>
          <cell r="E67">
            <v>0.2795617817916457</v>
          </cell>
          <cell r="F67">
            <v>0.27260063898778492</v>
          </cell>
          <cell r="G67">
            <v>-6.961142803860787E-3</v>
          </cell>
          <cell r="H67">
            <v>0.27430440039273279</v>
          </cell>
          <cell r="I67">
            <v>0.28494292301723145</v>
          </cell>
          <cell r="J67">
            <v>1.0638522624498659E-2</v>
          </cell>
          <cell r="K67">
            <v>797.12128362435112</v>
          </cell>
        </row>
        <row r="68">
          <cell r="A68" t="str">
            <v>Andre dr.kost. pr. årsverk 2) 3)</v>
          </cell>
          <cell r="E68">
            <v>0</v>
          </cell>
          <cell r="F68" t="e">
            <v>#DIV/0!</v>
          </cell>
          <cell r="G68" t="e">
            <v>#DIV/0!</v>
          </cell>
          <cell r="J68">
            <v>0</v>
          </cell>
          <cell r="K68">
            <v>333.09261718449909</v>
          </cell>
        </row>
        <row r="70">
          <cell r="A70" t="str">
            <v>Årsverk - egne</v>
          </cell>
          <cell r="H70">
            <v>1057</v>
          </cell>
          <cell r="I70">
            <v>1195</v>
          </cell>
          <cell r="J70">
            <v>138</v>
          </cell>
          <cell r="K70">
            <v>1224</v>
          </cell>
        </row>
        <row r="71">
          <cell r="A71" t="str">
            <v>Årsverk - innleide</v>
          </cell>
          <cell r="H71">
            <v>59</v>
          </cell>
          <cell r="I71">
            <v>31</v>
          </cell>
          <cell r="J71">
            <v>-28</v>
          </cell>
          <cell r="K71">
            <v>21</v>
          </cell>
        </row>
        <row r="73">
          <cell r="A73" t="str">
            <v>Investeringer</v>
          </cell>
          <cell r="H73">
            <v>13</v>
          </cell>
          <cell r="I73">
            <v>93</v>
          </cell>
          <cell r="J73">
            <v>80</v>
          </cell>
          <cell r="K73">
            <v>263</v>
          </cell>
        </row>
        <row r="75">
          <cell r="A75" t="str">
            <v>1) Driftskostnad = Pers.kost. + andre driftskostnader</v>
          </cell>
        </row>
        <row r="76">
          <cell r="A76" t="str">
            <v>2) Annualisert</v>
          </cell>
        </row>
        <row r="77">
          <cell r="A77" t="str">
            <v>3) Tusen kr.</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theme/theme1.xml><?xml version="1.0" encoding="utf-8"?>
<a:theme xmlns:a="http://schemas.openxmlformats.org/drawingml/2006/main" name="Office Theme">
  <a:themeElements>
    <a:clrScheme name="New Street Research Colors">
      <a:dk1>
        <a:sysClr val="windowText" lastClr="000000"/>
      </a:dk1>
      <a:lt1>
        <a:sysClr val="window" lastClr="FFFFFF"/>
      </a:lt1>
      <a:dk2>
        <a:srgbClr val="799098"/>
      </a:dk2>
      <a:lt2>
        <a:srgbClr val="263238"/>
      </a:lt2>
      <a:accent1>
        <a:srgbClr val="C7FE02"/>
      </a:accent1>
      <a:accent2>
        <a:srgbClr val="E3F982"/>
      </a:accent2>
      <a:accent3>
        <a:srgbClr val="F9663E"/>
      </a:accent3>
      <a:accent4>
        <a:srgbClr val="F19375"/>
      </a:accent4>
      <a:accent5>
        <a:srgbClr val="00C994"/>
      </a:accent5>
      <a:accent6>
        <a:srgbClr val="80D4C1"/>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5C1A7-7948-42C3-AE94-244829B6623D}">
  <dimension ref="A8:AU39"/>
  <sheetViews>
    <sheetView showGridLines="0" tabSelected="1" zoomScale="86" zoomScaleNormal="100" workbookViewId="0">
      <selection activeCell="B9" sqref="B9"/>
    </sheetView>
  </sheetViews>
  <sheetFormatPr defaultColWidth="7.9453125" defaultRowHeight="11.7" x14ac:dyDescent="0.45"/>
  <cols>
    <col min="1" max="1" width="13.9453125" style="378" customWidth="1"/>
    <col min="2" max="2" width="11.62890625" style="378" customWidth="1"/>
    <col min="3" max="9" width="7.9453125" style="378"/>
    <col min="10" max="10" width="8.83984375" style="378" bestFit="1" customWidth="1"/>
    <col min="11" max="12" width="7.9453125" style="378"/>
    <col min="13" max="13" width="9.578125" style="378" bestFit="1" customWidth="1"/>
    <col min="14" max="20" width="7.9453125" style="378"/>
    <col min="21" max="21" width="6.7890625" style="378" bestFit="1" customWidth="1"/>
    <col min="22" max="16384" width="7.9453125" style="378"/>
  </cols>
  <sheetData>
    <row r="8" spans="1:20" ht="13.2" thickBot="1" x14ac:dyDescent="0.55000000000000004">
      <c r="A8" s="376"/>
      <c r="B8" s="377"/>
      <c r="C8" s="377"/>
      <c r="D8" s="377"/>
      <c r="E8" s="377"/>
      <c r="F8" s="377"/>
      <c r="G8" s="377"/>
      <c r="H8" s="377"/>
      <c r="I8" s="377"/>
      <c r="J8" s="377"/>
      <c r="K8" s="377"/>
      <c r="L8" s="377"/>
      <c r="M8" s="377"/>
      <c r="N8" s="377"/>
      <c r="O8" s="377"/>
      <c r="P8" s="377"/>
      <c r="Q8" s="377"/>
      <c r="R8" s="377"/>
      <c r="S8" s="377"/>
      <c r="T8" s="377"/>
    </row>
    <row r="9" spans="1:20" x14ac:dyDescent="0.45">
      <c r="A9" s="379"/>
      <c r="B9" s="379"/>
      <c r="C9" s="379"/>
      <c r="D9" s="379"/>
      <c r="E9" s="379"/>
      <c r="F9" s="379"/>
      <c r="G9" s="379"/>
      <c r="H9" s="379"/>
      <c r="I9" s="379"/>
      <c r="J9" s="379"/>
      <c r="K9" s="379"/>
      <c r="L9" s="379"/>
      <c r="M9" s="379"/>
      <c r="N9" s="379"/>
      <c r="O9" s="379"/>
      <c r="P9" s="379"/>
      <c r="Q9" s="379"/>
      <c r="R9" s="379"/>
      <c r="S9" s="379"/>
      <c r="T9" s="379"/>
    </row>
    <row r="10" spans="1:20" x14ac:dyDescent="0.45">
      <c r="A10" s="379"/>
      <c r="B10" s="379"/>
      <c r="C10" s="379"/>
      <c r="D10" s="379"/>
      <c r="E10" s="379"/>
      <c r="F10" s="379"/>
      <c r="G10" s="379"/>
      <c r="H10" s="379"/>
      <c r="I10" s="379"/>
      <c r="J10" s="379"/>
      <c r="K10" s="379"/>
      <c r="L10" s="379"/>
      <c r="M10" s="379"/>
      <c r="N10" s="379"/>
      <c r="O10" s="379"/>
      <c r="P10" s="379"/>
      <c r="Q10" s="379"/>
      <c r="R10" s="379"/>
      <c r="S10" s="379"/>
      <c r="T10" s="379"/>
    </row>
    <row r="11" spans="1:20" x14ac:dyDescent="0.45">
      <c r="A11" s="379"/>
      <c r="B11" s="379"/>
      <c r="C11" s="379"/>
      <c r="D11" s="379"/>
      <c r="E11" s="379"/>
      <c r="F11" s="379"/>
      <c r="G11" s="379"/>
      <c r="H11" s="379"/>
      <c r="I11" s="379"/>
      <c r="J11" s="379"/>
      <c r="K11" s="379"/>
      <c r="L11" s="379"/>
      <c r="M11" s="379"/>
      <c r="N11" s="379"/>
      <c r="O11" s="379"/>
      <c r="P11" s="379"/>
      <c r="Q11" s="379"/>
      <c r="R11" s="379"/>
      <c r="S11" s="379"/>
      <c r="T11" s="379"/>
    </row>
    <row r="12" spans="1:20" x14ac:dyDescent="0.45">
      <c r="A12" s="379"/>
      <c r="B12" s="379"/>
      <c r="C12" s="379"/>
      <c r="D12" s="379"/>
      <c r="E12" s="379"/>
      <c r="F12" s="379"/>
      <c r="G12" s="379"/>
      <c r="H12" s="379"/>
      <c r="I12" s="379"/>
      <c r="J12" s="379"/>
      <c r="K12" s="379"/>
      <c r="L12" s="379"/>
      <c r="M12" s="379"/>
      <c r="N12" s="379"/>
      <c r="O12" s="379"/>
      <c r="P12" s="379"/>
      <c r="Q12" s="379"/>
      <c r="R12" s="379"/>
      <c r="S12" s="379"/>
      <c r="T12" s="379"/>
    </row>
    <row r="13" spans="1:20" ht="23.1" x14ac:dyDescent="0.85">
      <c r="A13" s="379"/>
      <c r="B13" s="380" t="s">
        <v>1284</v>
      </c>
      <c r="C13" s="379"/>
      <c r="D13" s="379"/>
      <c r="E13" s="379"/>
      <c r="F13" s="379"/>
      <c r="G13" s="379"/>
      <c r="H13" s="379"/>
      <c r="I13" s="379"/>
      <c r="J13" s="379"/>
      <c r="K13" s="379"/>
      <c r="L13" s="379"/>
      <c r="M13" s="379"/>
      <c r="N13" s="379"/>
      <c r="O13" s="379"/>
      <c r="P13" s="379"/>
      <c r="Q13" s="379"/>
      <c r="R13" s="379"/>
      <c r="S13" s="379"/>
      <c r="T13" s="379"/>
    </row>
    <row r="14" spans="1:20" x14ac:dyDescent="0.45">
      <c r="A14" s="379"/>
      <c r="B14" s="379"/>
      <c r="C14" s="379"/>
      <c r="D14" s="379"/>
      <c r="E14" s="379"/>
      <c r="F14" s="379"/>
      <c r="G14" s="379"/>
      <c r="H14" s="379"/>
      <c r="I14" s="379"/>
      <c r="J14" s="379"/>
      <c r="K14" s="379"/>
      <c r="L14" s="379"/>
      <c r="M14" s="379"/>
      <c r="N14" s="379"/>
      <c r="O14" s="379"/>
      <c r="P14" s="379"/>
      <c r="Q14" s="379"/>
      <c r="R14" s="379"/>
      <c r="S14" s="379"/>
      <c r="T14" s="379"/>
    </row>
    <row r="15" spans="1:20" x14ac:dyDescent="0.45">
      <c r="A15" s="379"/>
      <c r="B15" s="379"/>
      <c r="C15" s="379"/>
      <c r="D15" s="379"/>
      <c r="E15" s="379"/>
      <c r="F15" s="379"/>
      <c r="G15" s="379"/>
      <c r="H15" s="379"/>
      <c r="I15" s="379"/>
      <c r="J15" s="379"/>
      <c r="K15" s="379"/>
      <c r="L15" s="379"/>
      <c r="M15" s="379"/>
      <c r="N15" s="379"/>
      <c r="O15" s="379"/>
      <c r="P15" s="379"/>
      <c r="Q15" s="379"/>
      <c r="R15" s="379"/>
      <c r="S15" s="379"/>
      <c r="T15" s="379"/>
    </row>
    <row r="16" spans="1:20" x14ac:dyDescent="0.45">
      <c r="A16" s="379"/>
      <c r="B16" s="381">
        <f ca="1">+TODAY()</f>
        <v>45544</v>
      </c>
      <c r="C16" s="379"/>
      <c r="D16" s="379"/>
      <c r="E16" s="379"/>
      <c r="F16" s="379"/>
      <c r="G16" s="379"/>
      <c r="H16" s="379"/>
      <c r="I16" s="379"/>
      <c r="J16" s="379"/>
      <c r="K16" s="379"/>
      <c r="L16" s="379"/>
      <c r="M16" s="379"/>
      <c r="N16" s="379"/>
      <c r="O16" s="379"/>
      <c r="P16" s="379"/>
      <c r="Q16" s="379"/>
      <c r="R16" s="379"/>
      <c r="S16" s="379"/>
      <c r="T16" s="379"/>
    </row>
    <row r="17" spans="1:47" ht="12.9" x14ac:dyDescent="0.5">
      <c r="A17" s="379"/>
      <c r="B17" s="382"/>
      <c r="C17" s="379"/>
      <c r="D17" s="379"/>
      <c r="E17" s="379"/>
      <c r="F17" s="379"/>
      <c r="G17" s="379"/>
      <c r="H17" s="379"/>
      <c r="I17" s="379"/>
      <c r="J17" s="379"/>
      <c r="K17" s="379"/>
      <c r="L17" s="379"/>
      <c r="M17" s="379"/>
      <c r="N17" s="379"/>
      <c r="O17" s="379"/>
      <c r="P17" s="379"/>
      <c r="Q17" s="379"/>
      <c r="R17" s="379"/>
      <c r="S17" s="379"/>
      <c r="T17" s="379"/>
    </row>
    <row r="18" spans="1:47" ht="12.9" x14ac:dyDescent="0.5">
      <c r="A18" s="379"/>
      <c r="B18" s="382"/>
      <c r="C18" s="379"/>
      <c r="D18" s="379"/>
      <c r="E18" s="379"/>
      <c r="F18" s="379"/>
      <c r="G18" s="379"/>
      <c r="H18" s="379"/>
      <c r="I18" s="379"/>
      <c r="J18" s="379"/>
      <c r="K18" s="379"/>
      <c r="L18" s="379"/>
      <c r="M18" s="379"/>
      <c r="N18" s="379"/>
      <c r="O18" s="379"/>
      <c r="P18" s="379"/>
      <c r="Q18" s="379"/>
      <c r="R18" s="379"/>
      <c r="S18" s="379"/>
      <c r="T18" s="379"/>
      <c r="U18" s="383"/>
      <c r="V18" s="383"/>
      <c r="W18" s="383"/>
      <c r="X18" s="383"/>
      <c r="Y18" s="383"/>
      <c r="Z18" s="383"/>
      <c r="AA18" s="383"/>
      <c r="AB18" s="383"/>
      <c r="AC18" s="383"/>
      <c r="AD18" s="383"/>
      <c r="AE18" s="383"/>
      <c r="AF18" s="383"/>
      <c r="AG18" s="383"/>
      <c r="AH18" s="383"/>
      <c r="AI18" s="383"/>
      <c r="AJ18" s="383"/>
      <c r="AK18" s="383"/>
      <c r="AL18" s="383"/>
      <c r="AM18" s="383"/>
      <c r="AN18" s="383"/>
      <c r="AO18" s="383"/>
      <c r="AP18" s="383"/>
      <c r="AQ18" s="383"/>
      <c r="AR18" s="383"/>
      <c r="AS18" s="383"/>
      <c r="AT18" s="383"/>
      <c r="AU18" s="383"/>
    </row>
    <row r="19" spans="1:47" ht="12.9" x14ac:dyDescent="0.5">
      <c r="A19" s="379"/>
      <c r="B19" s="384" t="s">
        <v>1277</v>
      </c>
      <c r="C19" s="379"/>
      <c r="D19" s="379"/>
      <c r="E19" s="379"/>
      <c r="F19" s="379"/>
      <c r="G19" s="379"/>
      <c r="H19" s="385"/>
      <c r="I19" s="379"/>
      <c r="J19" s="379"/>
      <c r="K19" s="379"/>
      <c r="L19" s="379"/>
      <c r="M19" s="379"/>
      <c r="N19" s="379"/>
      <c r="O19" s="379"/>
      <c r="P19" s="379"/>
      <c r="Q19" s="379"/>
      <c r="R19" s="379"/>
      <c r="S19" s="379"/>
      <c r="T19" s="379"/>
      <c r="U19" s="383"/>
      <c r="V19" s="383"/>
    </row>
    <row r="20" spans="1:47" ht="12.9" x14ac:dyDescent="0.5">
      <c r="A20" s="379"/>
      <c r="B20" s="386" t="s">
        <v>1278</v>
      </c>
      <c r="C20" s="379"/>
      <c r="D20" s="379"/>
      <c r="E20" s="379"/>
      <c r="F20" s="379"/>
      <c r="G20" s="379"/>
      <c r="H20" s="379"/>
      <c r="I20" s="379"/>
      <c r="J20" s="379"/>
      <c r="K20" s="379"/>
      <c r="L20" s="379"/>
      <c r="M20" s="379"/>
      <c r="N20" s="379"/>
      <c r="O20" s="379"/>
      <c r="P20" s="379"/>
      <c r="Q20" s="379"/>
      <c r="R20" s="383"/>
      <c r="S20" s="383"/>
      <c r="T20" s="383"/>
      <c r="U20" s="383"/>
      <c r="V20" s="383"/>
    </row>
    <row r="21" spans="1:47" ht="12.9" x14ac:dyDescent="0.5">
      <c r="A21" s="379"/>
      <c r="B21" s="387" t="s">
        <v>1279</v>
      </c>
      <c r="C21" s="388"/>
      <c r="D21" s="388"/>
      <c r="E21" s="379"/>
      <c r="F21" s="379"/>
      <c r="G21" s="379"/>
      <c r="H21" s="379"/>
      <c r="I21" s="379"/>
      <c r="J21" s="379"/>
      <c r="K21" s="379"/>
      <c r="L21" s="379"/>
      <c r="M21" s="379"/>
      <c r="N21" s="379"/>
      <c r="O21" s="379"/>
      <c r="P21" s="379"/>
      <c r="Q21" s="379"/>
      <c r="R21" s="379"/>
      <c r="S21" s="379"/>
      <c r="T21" s="379"/>
    </row>
    <row r="22" spans="1:47" ht="12.9" x14ac:dyDescent="0.5">
      <c r="A22" s="379"/>
      <c r="B22" s="382" t="s">
        <v>1280</v>
      </c>
      <c r="C22" s="388"/>
      <c r="D22" s="388"/>
      <c r="E22" s="379"/>
      <c r="F22" s="379"/>
      <c r="G22" s="379"/>
      <c r="H22" s="379"/>
      <c r="I22" s="379"/>
      <c r="J22" s="379"/>
      <c r="K22" s="379"/>
      <c r="L22" s="379"/>
      <c r="M22" s="379"/>
      <c r="N22" s="379"/>
      <c r="O22" s="379"/>
      <c r="P22" s="379"/>
      <c r="Q22" s="379"/>
      <c r="R22" s="379"/>
      <c r="S22" s="379"/>
      <c r="T22" s="379"/>
    </row>
    <row r="23" spans="1:47" ht="12.9" x14ac:dyDescent="0.5">
      <c r="A23" s="379"/>
      <c r="B23" s="382"/>
      <c r="C23" s="388"/>
      <c r="D23" s="388"/>
      <c r="E23" s="379"/>
      <c r="F23" s="379"/>
      <c r="G23" s="379"/>
      <c r="H23" s="379"/>
      <c r="I23" s="379"/>
      <c r="J23" s="379"/>
      <c r="K23" s="379"/>
      <c r="L23" s="379"/>
      <c r="M23" s="379"/>
      <c r="N23" s="379"/>
      <c r="O23" s="379"/>
      <c r="P23" s="379"/>
      <c r="Q23" s="379"/>
      <c r="R23" s="379"/>
      <c r="S23" s="379"/>
      <c r="T23" s="379"/>
    </row>
    <row r="24" spans="1:47" x14ac:dyDescent="0.45">
      <c r="A24" s="379"/>
      <c r="B24" s="389"/>
      <c r="C24" s="388"/>
      <c r="D24" s="388"/>
      <c r="E24" s="379"/>
      <c r="F24" s="379"/>
      <c r="G24" s="379"/>
      <c r="H24" s="379"/>
      <c r="I24" s="379"/>
      <c r="J24" s="390"/>
      <c r="K24" s="379"/>
      <c r="L24" s="379"/>
      <c r="M24" s="379"/>
      <c r="N24" s="379"/>
      <c r="O24" s="379"/>
      <c r="P24" s="379"/>
      <c r="Q24" s="379"/>
      <c r="R24" s="379"/>
      <c r="S24" s="379"/>
      <c r="T24" s="379"/>
    </row>
    <row r="25" spans="1:47" x14ac:dyDescent="0.45">
      <c r="A25" s="379"/>
      <c r="B25" s="388" t="s">
        <v>1281</v>
      </c>
      <c r="C25" s="391" t="s">
        <v>1285</v>
      </c>
      <c r="D25" s="379"/>
      <c r="E25" s="379"/>
      <c r="F25" s="379"/>
      <c r="G25" s="379"/>
      <c r="H25" s="379"/>
      <c r="I25" s="379"/>
      <c r="J25" s="379"/>
      <c r="K25" s="379"/>
      <c r="L25" s="379"/>
      <c r="M25" s="390"/>
      <c r="N25" s="379"/>
      <c r="O25" s="379"/>
      <c r="P25" s="379"/>
      <c r="Q25" s="379"/>
      <c r="R25" s="379"/>
      <c r="S25" s="379"/>
      <c r="T25" s="379"/>
    </row>
    <row r="26" spans="1:47" x14ac:dyDescent="0.45">
      <c r="A26" s="379"/>
      <c r="B26" s="388" t="s">
        <v>1282</v>
      </c>
      <c r="C26" s="391" t="s">
        <v>1286</v>
      </c>
      <c r="D26" s="379"/>
      <c r="E26" s="379"/>
      <c r="F26" s="379"/>
      <c r="G26" s="379"/>
      <c r="H26" s="379"/>
      <c r="I26" s="379"/>
      <c r="J26" s="379"/>
      <c r="K26" s="379"/>
      <c r="L26" s="379"/>
      <c r="M26" s="390"/>
      <c r="N26" s="379"/>
      <c r="O26" s="379"/>
      <c r="P26" s="379"/>
      <c r="Q26" s="379"/>
      <c r="R26" s="379"/>
      <c r="S26" s="379"/>
      <c r="T26" s="379"/>
    </row>
    <row r="27" spans="1:47" x14ac:dyDescent="0.45">
      <c r="A27" s="379"/>
      <c r="B27" s="388" t="s">
        <v>1283</v>
      </c>
      <c r="C27" s="392">
        <v>70</v>
      </c>
      <c r="D27" s="379"/>
      <c r="E27" s="385"/>
      <c r="F27" s="379"/>
      <c r="G27" s="379"/>
      <c r="H27" s="379"/>
      <c r="I27" s="379"/>
      <c r="J27" s="379"/>
      <c r="K27" s="379"/>
      <c r="L27" s="379"/>
      <c r="M27" s="379"/>
      <c r="N27" s="379"/>
      <c r="O27" s="379"/>
      <c r="P27" s="379"/>
      <c r="Q27" s="379"/>
      <c r="R27" s="379"/>
      <c r="S27" s="379"/>
      <c r="T27" s="379"/>
    </row>
    <row r="28" spans="1:47" x14ac:dyDescent="0.45">
      <c r="A28" s="379"/>
      <c r="B28" s="388"/>
      <c r="C28" s="393"/>
      <c r="D28" s="385"/>
      <c r="E28" s="385"/>
      <c r="F28" s="385"/>
      <c r="G28" s="385"/>
      <c r="H28" s="385"/>
      <c r="I28" s="385"/>
      <c r="J28" s="385"/>
      <c r="K28" s="385"/>
      <c r="L28" s="385"/>
      <c r="M28" s="385"/>
      <c r="N28" s="385"/>
      <c r="O28" s="385"/>
      <c r="P28" s="379"/>
      <c r="Q28" s="379"/>
      <c r="R28" s="379"/>
      <c r="S28" s="379"/>
      <c r="T28" s="379"/>
    </row>
    <row r="29" spans="1:47" x14ac:dyDescent="0.45">
      <c r="A29" s="379"/>
      <c r="B29" s="388"/>
      <c r="C29" s="393"/>
      <c r="D29" s="385"/>
      <c r="E29" s="385"/>
      <c r="F29" s="385"/>
      <c r="G29" s="385"/>
      <c r="H29" s="385"/>
      <c r="I29" s="385"/>
      <c r="J29" s="385"/>
      <c r="K29" s="385"/>
      <c r="L29" s="385"/>
      <c r="M29" s="385"/>
      <c r="N29" s="385"/>
      <c r="O29" s="385"/>
      <c r="P29" s="379"/>
      <c r="Q29" s="379"/>
      <c r="R29" s="379"/>
      <c r="S29" s="379"/>
      <c r="T29" s="379"/>
    </row>
    <row r="30" spans="1:47" x14ac:dyDescent="0.45">
      <c r="A30" s="379"/>
      <c r="B30" s="388"/>
      <c r="C30" s="393"/>
      <c r="D30" s="379"/>
      <c r="E30" s="379"/>
      <c r="F30" s="379"/>
      <c r="G30" s="379"/>
      <c r="H30" s="379"/>
      <c r="I30" s="379"/>
      <c r="J30" s="379"/>
      <c r="K30" s="379"/>
      <c r="L30" s="379"/>
      <c r="M30" s="379"/>
      <c r="N30" s="379"/>
      <c r="O30" s="379"/>
      <c r="P30" s="379"/>
      <c r="Q30" s="379"/>
      <c r="R30" s="379"/>
      <c r="S30" s="379"/>
      <c r="T30" s="379"/>
    </row>
    <row r="31" spans="1:47" x14ac:dyDescent="0.45">
      <c r="A31" s="379"/>
      <c r="B31" s="379"/>
      <c r="C31" s="379"/>
      <c r="D31" s="379"/>
      <c r="E31" s="379"/>
      <c r="F31" s="379"/>
      <c r="G31" s="379"/>
      <c r="H31" s="379"/>
      <c r="I31" s="379"/>
      <c r="J31" s="379"/>
      <c r="K31" s="379"/>
      <c r="L31" s="379"/>
      <c r="M31" s="379"/>
      <c r="N31" s="379"/>
      <c r="O31" s="379"/>
      <c r="P31" s="379"/>
      <c r="Q31" s="379"/>
      <c r="R31" s="379"/>
      <c r="S31" s="379"/>
      <c r="T31" s="379"/>
    </row>
    <row r="32" spans="1:47" x14ac:dyDescent="0.45">
      <c r="A32" s="379"/>
      <c r="B32" s="379"/>
      <c r="C32" s="379"/>
      <c r="D32" s="379"/>
      <c r="E32" s="379"/>
      <c r="F32" s="379"/>
      <c r="G32" s="379"/>
      <c r="H32" s="379"/>
      <c r="I32" s="379"/>
      <c r="J32" s="379"/>
      <c r="K32" s="379"/>
      <c r="L32" s="379"/>
      <c r="M32" s="379"/>
      <c r="N32" s="379"/>
      <c r="O32" s="379"/>
      <c r="P32" s="379"/>
      <c r="Q32" s="379"/>
      <c r="R32" s="379"/>
      <c r="S32" s="379"/>
      <c r="T32" s="379"/>
    </row>
    <row r="33" spans="1:20" x14ac:dyDescent="0.45">
      <c r="A33" s="379"/>
      <c r="B33" s="379"/>
      <c r="C33" s="379"/>
      <c r="D33" s="379"/>
      <c r="E33" s="379"/>
      <c r="F33" s="379"/>
      <c r="G33" s="379"/>
      <c r="H33" s="379"/>
      <c r="I33" s="379"/>
      <c r="J33" s="379"/>
      <c r="K33" s="379"/>
      <c r="L33" s="379"/>
      <c r="M33" s="379"/>
      <c r="N33" s="379"/>
      <c r="O33" s="379"/>
      <c r="P33" s="379"/>
      <c r="Q33" s="379"/>
      <c r="R33" s="379"/>
      <c r="S33" s="379"/>
      <c r="T33" s="379"/>
    </row>
    <row r="34" spans="1:20" x14ac:dyDescent="0.45">
      <c r="A34" s="379"/>
      <c r="B34" s="379"/>
      <c r="C34" s="379"/>
      <c r="D34" s="379"/>
      <c r="E34" s="379"/>
      <c r="F34" s="379"/>
      <c r="G34" s="379"/>
      <c r="H34" s="379"/>
      <c r="I34" s="379"/>
      <c r="J34" s="379"/>
      <c r="K34" s="379"/>
      <c r="L34" s="379"/>
      <c r="M34" s="379"/>
      <c r="N34" s="379"/>
      <c r="O34" s="379"/>
      <c r="P34" s="379"/>
      <c r="Q34" s="379"/>
      <c r="R34" s="379"/>
      <c r="S34" s="379"/>
      <c r="T34" s="379"/>
    </row>
    <row r="35" spans="1:20" x14ac:dyDescent="0.45">
      <c r="A35" s="379"/>
      <c r="B35" s="379"/>
      <c r="C35" s="379"/>
      <c r="D35" s="379"/>
      <c r="E35" s="379"/>
      <c r="F35" s="379"/>
      <c r="G35" s="379"/>
      <c r="H35" s="379"/>
      <c r="I35" s="379"/>
      <c r="J35" s="379"/>
      <c r="K35" s="379"/>
      <c r="L35" s="379"/>
      <c r="M35" s="379"/>
      <c r="N35" s="379"/>
      <c r="O35" s="379"/>
      <c r="P35" s="379"/>
      <c r="Q35" s="379"/>
      <c r="R35" s="379"/>
      <c r="S35" s="379"/>
      <c r="T35" s="379"/>
    </row>
    <row r="36" spans="1:20" x14ac:dyDescent="0.45">
      <c r="A36" s="379"/>
      <c r="B36" s="379"/>
      <c r="C36" s="379"/>
      <c r="D36" s="379"/>
      <c r="E36" s="379"/>
      <c r="F36" s="379"/>
      <c r="G36" s="379"/>
      <c r="H36" s="379"/>
      <c r="I36" s="379"/>
      <c r="J36" s="379"/>
      <c r="K36" s="379"/>
      <c r="L36" s="379"/>
      <c r="M36" s="379"/>
      <c r="N36" s="379"/>
      <c r="O36" s="379"/>
      <c r="P36" s="379"/>
      <c r="Q36" s="379"/>
      <c r="R36" s="379"/>
      <c r="S36" s="379"/>
      <c r="T36" s="379"/>
    </row>
    <row r="37" spans="1:20" x14ac:dyDescent="0.45">
      <c r="A37" s="379"/>
      <c r="B37" s="379"/>
      <c r="C37" s="379"/>
      <c r="D37" s="379"/>
      <c r="E37" s="379"/>
      <c r="F37" s="379"/>
      <c r="G37" s="379"/>
      <c r="H37" s="379"/>
      <c r="I37" s="379"/>
      <c r="J37" s="379"/>
      <c r="K37" s="379"/>
      <c r="L37" s="379"/>
      <c r="M37" s="379"/>
      <c r="N37" s="379"/>
      <c r="O37" s="379"/>
      <c r="P37" s="379"/>
      <c r="Q37" s="379"/>
      <c r="R37" s="379"/>
      <c r="S37" s="379"/>
      <c r="T37" s="379"/>
    </row>
    <row r="38" spans="1:20" x14ac:dyDescent="0.45">
      <c r="A38" s="379"/>
      <c r="B38" s="379"/>
      <c r="C38" s="379"/>
      <c r="D38" s="379"/>
      <c r="E38" s="379"/>
      <c r="F38" s="379"/>
      <c r="G38" s="379"/>
      <c r="H38" s="379"/>
      <c r="I38" s="379"/>
      <c r="J38" s="379"/>
      <c r="K38" s="379"/>
      <c r="L38" s="379"/>
      <c r="M38" s="379"/>
      <c r="N38" s="379"/>
      <c r="O38" s="379"/>
      <c r="P38" s="379"/>
      <c r="Q38" s="379"/>
      <c r="R38" s="379"/>
      <c r="S38" s="379"/>
      <c r="T38" s="379"/>
    </row>
    <row r="39" spans="1:20" ht="12" thickBot="1" x14ac:dyDescent="0.5">
      <c r="A39" s="377"/>
      <c r="B39" s="377"/>
      <c r="C39" s="377"/>
      <c r="D39" s="377"/>
      <c r="E39" s="377"/>
      <c r="F39" s="377"/>
      <c r="G39" s="377"/>
      <c r="H39" s="377"/>
      <c r="I39" s="377"/>
      <c r="J39" s="377"/>
      <c r="K39" s="377"/>
      <c r="L39" s="377"/>
      <c r="M39" s="377"/>
      <c r="N39" s="377"/>
      <c r="O39" s="377"/>
      <c r="P39" s="377"/>
      <c r="Q39" s="377"/>
      <c r="R39" s="377"/>
      <c r="S39" s="377"/>
      <c r="T39" s="377"/>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9CE4F0-CD33-4E74-88A6-70BAF6CE6AA3}">
  <dimension ref="B2:AA126"/>
  <sheetViews>
    <sheetView zoomScale="67" workbookViewId="0">
      <selection activeCell="J23" sqref="J23"/>
    </sheetView>
  </sheetViews>
  <sheetFormatPr defaultRowHeight="14.4" x14ac:dyDescent="0.55000000000000004"/>
  <sheetData>
    <row r="2" spans="2:27" x14ac:dyDescent="0.55000000000000004">
      <c r="B2" s="175">
        <v>45444</v>
      </c>
      <c r="J2" s="175" t="s">
        <v>662</v>
      </c>
      <c r="V2" s="175" t="s">
        <v>806</v>
      </c>
      <c r="AA2" t="s">
        <v>810</v>
      </c>
    </row>
    <row r="3" spans="2:27" x14ac:dyDescent="0.55000000000000004">
      <c r="B3" t="s">
        <v>431</v>
      </c>
      <c r="J3" t="s">
        <v>780</v>
      </c>
      <c r="V3" t="s">
        <v>807</v>
      </c>
      <c r="AA3" t="s">
        <v>811</v>
      </c>
    </row>
    <row r="4" spans="2:27" x14ac:dyDescent="0.55000000000000004">
      <c r="B4" t="s">
        <v>434</v>
      </c>
      <c r="J4" t="s">
        <v>776</v>
      </c>
      <c r="V4" t="s">
        <v>808</v>
      </c>
    </row>
    <row r="5" spans="2:27" x14ac:dyDescent="0.55000000000000004">
      <c r="C5" t="s">
        <v>432</v>
      </c>
      <c r="K5" s="237" t="s">
        <v>802</v>
      </c>
      <c r="W5" t="s">
        <v>809</v>
      </c>
    </row>
    <row r="6" spans="2:27" x14ac:dyDescent="0.55000000000000004">
      <c r="C6" t="s">
        <v>433</v>
      </c>
      <c r="K6" s="237" t="s">
        <v>803</v>
      </c>
      <c r="V6" t="s">
        <v>812</v>
      </c>
    </row>
    <row r="7" spans="2:27" x14ac:dyDescent="0.55000000000000004">
      <c r="B7" t="s">
        <v>435</v>
      </c>
      <c r="K7" s="237" t="s">
        <v>804</v>
      </c>
      <c r="V7" t="s">
        <v>165</v>
      </c>
    </row>
    <row r="8" spans="2:27" x14ac:dyDescent="0.55000000000000004">
      <c r="C8" t="s">
        <v>436</v>
      </c>
      <c r="K8" s="237" t="s">
        <v>805</v>
      </c>
      <c r="W8" t="s">
        <v>813</v>
      </c>
    </row>
    <row r="9" spans="2:27" x14ac:dyDescent="0.55000000000000004">
      <c r="C9" t="s">
        <v>437</v>
      </c>
      <c r="J9" t="s">
        <v>777</v>
      </c>
      <c r="K9" t="s">
        <v>778</v>
      </c>
      <c r="W9" t="s">
        <v>814</v>
      </c>
    </row>
    <row r="10" spans="2:27" x14ac:dyDescent="0.55000000000000004">
      <c r="B10" t="s">
        <v>438</v>
      </c>
      <c r="L10" t="s">
        <v>779</v>
      </c>
      <c r="V10" t="s">
        <v>172</v>
      </c>
    </row>
    <row r="11" spans="2:27" x14ac:dyDescent="0.55000000000000004">
      <c r="C11" t="s">
        <v>439</v>
      </c>
      <c r="J11" t="s">
        <v>781</v>
      </c>
      <c r="W11" t="s">
        <v>815</v>
      </c>
    </row>
    <row r="12" spans="2:27" x14ac:dyDescent="0.55000000000000004">
      <c r="C12" t="s">
        <v>440</v>
      </c>
      <c r="K12" t="s">
        <v>782</v>
      </c>
      <c r="W12" t="s">
        <v>816</v>
      </c>
      <c r="Z12" t="s">
        <v>817</v>
      </c>
    </row>
    <row r="13" spans="2:27" x14ac:dyDescent="0.55000000000000004">
      <c r="B13" t="s">
        <v>441</v>
      </c>
      <c r="L13" t="s">
        <v>783</v>
      </c>
      <c r="W13" t="s">
        <v>818</v>
      </c>
    </row>
    <row r="14" spans="2:27" x14ac:dyDescent="0.55000000000000004">
      <c r="L14" t="s">
        <v>785</v>
      </c>
      <c r="X14" t="s">
        <v>819</v>
      </c>
    </row>
    <row r="15" spans="2:27" x14ac:dyDescent="0.55000000000000004">
      <c r="B15" t="s">
        <v>442</v>
      </c>
      <c r="M15" t="s">
        <v>784</v>
      </c>
      <c r="X15" t="s">
        <v>820</v>
      </c>
    </row>
    <row r="16" spans="2:27" x14ac:dyDescent="0.55000000000000004">
      <c r="C16" t="s">
        <v>443</v>
      </c>
      <c r="K16" s="237" t="s">
        <v>832</v>
      </c>
      <c r="V16" t="s">
        <v>821</v>
      </c>
    </row>
    <row r="17" spans="2:26" x14ac:dyDescent="0.55000000000000004">
      <c r="D17" t="s">
        <v>444</v>
      </c>
      <c r="K17" s="237" t="s">
        <v>833</v>
      </c>
      <c r="V17" t="s">
        <v>822</v>
      </c>
    </row>
    <row r="18" spans="2:26" x14ac:dyDescent="0.55000000000000004">
      <c r="D18" t="s">
        <v>445</v>
      </c>
      <c r="V18" t="s">
        <v>823</v>
      </c>
    </row>
    <row r="19" spans="2:26" x14ac:dyDescent="0.55000000000000004">
      <c r="B19" t="s">
        <v>449</v>
      </c>
      <c r="J19" t="s">
        <v>800</v>
      </c>
      <c r="V19" t="s">
        <v>824</v>
      </c>
    </row>
    <row r="20" spans="2:26" x14ac:dyDescent="0.55000000000000004">
      <c r="C20" t="s">
        <v>450</v>
      </c>
      <c r="L20" t="s">
        <v>801</v>
      </c>
      <c r="V20" t="s">
        <v>825</v>
      </c>
    </row>
    <row r="21" spans="2:26" x14ac:dyDescent="0.55000000000000004">
      <c r="C21" t="s">
        <v>451</v>
      </c>
      <c r="J21" t="s">
        <v>831</v>
      </c>
      <c r="W21" t="s">
        <v>826</v>
      </c>
    </row>
    <row r="22" spans="2:26" x14ac:dyDescent="0.55000000000000004">
      <c r="B22" t="s">
        <v>446</v>
      </c>
      <c r="J22" t="s">
        <v>862</v>
      </c>
      <c r="W22" t="s">
        <v>827</v>
      </c>
    </row>
    <row r="23" spans="2:26" x14ac:dyDescent="0.55000000000000004">
      <c r="C23" t="s">
        <v>447</v>
      </c>
      <c r="J23" t="s">
        <v>871</v>
      </c>
      <c r="V23" t="s">
        <v>828</v>
      </c>
    </row>
    <row r="24" spans="2:26" x14ac:dyDescent="0.55000000000000004">
      <c r="C24" t="s">
        <v>448</v>
      </c>
      <c r="W24" t="s">
        <v>829</v>
      </c>
    </row>
    <row r="25" spans="2:26" x14ac:dyDescent="0.55000000000000004">
      <c r="B25" t="s">
        <v>452</v>
      </c>
      <c r="W25" t="s">
        <v>830</v>
      </c>
    </row>
    <row r="26" spans="2:26" x14ac:dyDescent="0.55000000000000004">
      <c r="V26" t="s">
        <v>836</v>
      </c>
    </row>
    <row r="27" spans="2:26" x14ac:dyDescent="0.55000000000000004">
      <c r="B27" t="s">
        <v>453</v>
      </c>
    </row>
    <row r="28" spans="2:26" x14ac:dyDescent="0.55000000000000004">
      <c r="C28" t="s">
        <v>454</v>
      </c>
      <c r="V28" t="s">
        <v>165</v>
      </c>
    </row>
    <row r="29" spans="2:26" x14ac:dyDescent="0.55000000000000004">
      <c r="C29" t="s">
        <v>455</v>
      </c>
      <c r="J29" s="90"/>
      <c r="K29" s="90"/>
      <c r="L29" s="90" t="s">
        <v>163</v>
      </c>
      <c r="M29" s="90"/>
      <c r="N29" s="90"/>
      <c r="O29" s="90" t="s">
        <v>786</v>
      </c>
      <c r="W29" t="s">
        <v>852</v>
      </c>
      <c r="Y29" t="s">
        <v>850</v>
      </c>
    </row>
    <row r="30" spans="2:26" x14ac:dyDescent="0.55000000000000004">
      <c r="D30" t="s">
        <v>456</v>
      </c>
      <c r="J30" t="s">
        <v>787</v>
      </c>
      <c r="L30" t="s">
        <v>788</v>
      </c>
      <c r="O30" t="s">
        <v>793</v>
      </c>
      <c r="Z30" t="s">
        <v>851</v>
      </c>
    </row>
    <row r="31" spans="2:26" x14ac:dyDescent="0.55000000000000004">
      <c r="J31" t="s">
        <v>789</v>
      </c>
      <c r="L31" t="s">
        <v>797</v>
      </c>
      <c r="O31" t="s">
        <v>794</v>
      </c>
      <c r="W31" t="s">
        <v>853</v>
      </c>
      <c r="Z31" t="s">
        <v>855</v>
      </c>
    </row>
    <row r="32" spans="2:26" x14ac:dyDescent="0.55000000000000004">
      <c r="B32" s="176" t="s">
        <v>458</v>
      </c>
      <c r="J32" t="s">
        <v>790</v>
      </c>
      <c r="L32" t="s">
        <v>788</v>
      </c>
      <c r="O32" t="s">
        <v>788</v>
      </c>
      <c r="Y32" t="s">
        <v>854</v>
      </c>
    </row>
    <row r="33" spans="2:15" x14ac:dyDescent="0.55000000000000004">
      <c r="J33" t="s">
        <v>791</v>
      </c>
      <c r="L33" t="s">
        <v>796</v>
      </c>
      <c r="O33" t="s">
        <v>792</v>
      </c>
    </row>
    <row r="34" spans="2:15" x14ac:dyDescent="0.55000000000000004">
      <c r="B34" t="s">
        <v>459</v>
      </c>
      <c r="J34" t="s">
        <v>795</v>
      </c>
      <c r="L34" t="s">
        <v>788</v>
      </c>
    </row>
    <row r="35" spans="2:15" x14ac:dyDescent="0.55000000000000004">
      <c r="B35" t="s">
        <v>460</v>
      </c>
      <c r="J35" t="s">
        <v>798</v>
      </c>
      <c r="L35" t="s">
        <v>788</v>
      </c>
      <c r="O35" t="s">
        <v>788</v>
      </c>
    </row>
    <row r="36" spans="2:15" x14ac:dyDescent="0.55000000000000004">
      <c r="J36" t="s">
        <v>799</v>
      </c>
    </row>
    <row r="38" spans="2:15" x14ac:dyDescent="0.55000000000000004">
      <c r="B38" t="s">
        <v>163</v>
      </c>
      <c r="J38" t="s">
        <v>835</v>
      </c>
    </row>
    <row r="39" spans="2:15" x14ac:dyDescent="0.55000000000000004">
      <c r="C39" t="s">
        <v>463</v>
      </c>
      <c r="J39" t="s">
        <v>834</v>
      </c>
    </row>
    <row r="40" spans="2:15" x14ac:dyDescent="0.55000000000000004">
      <c r="C40" t="s">
        <v>464</v>
      </c>
      <c r="J40" t="s">
        <v>838</v>
      </c>
    </row>
    <row r="41" spans="2:15" x14ac:dyDescent="0.55000000000000004">
      <c r="C41" t="s">
        <v>465</v>
      </c>
      <c r="J41" t="s">
        <v>839</v>
      </c>
    </row>
    <row r="42" spans="2:15" x14ac:dyDescent="0.55000000000000004">
      <c r="B42" t="s">
        <v>162</v>
      </c>
    </row>
    <row r="43" spans="2:15" x14ac:dyDescent="0.55000000000000004">
      <c r="C43" t="s">
        <v>466</v>
      </c>
    </row>
    <row r="44" spans="2:15" x14ac:dyDescent="0.55000000000000004">
      <c r="C44" t="s">
        <v>467</v>
      </c>
    </row>
    <row r="46" spans="2:15" x14ac:dyDescent="0.55000000000000004">
      <c r="B46" s="152" t="s">
        <v>480</v>
      </c>
    </row>
    <row r="48" spans="2:15" x14ac:dyDescent="0.55000000000000004">
      <c r="B48" t="s">
        <v>162</v>
      </c>
    </row>
    <row r="49" spans="2:5" x14ac:dyDescent="0.55000000000000004">
      <c r="C49" t="s">
        <v>481</v>
      </c>
    </row>
    <row r="50" spans="2:5" x14ac:dyDescent="0.55000000000000004">
      <c r="C50" t="s">
        <v>482</v>
      </c>
    </row>
    <row r="51" spans="2:5" x14ac:dyDescent="0.55000000000000004">
      <c r="D51" t="s">
        <v>490</v>
      </c>
    </row>
    <row r="52" spans="2:5" x14ac:dyDescent="0.55000000000000004">
      <c r="C52" t="s">
        <v>483</v>
      </c>
    </row>
    <row r="53" spans="2:5" x14ac:dyDescent="0.55000000000000004">
      <c r="D53" t="s">
        <v>492</v>
      </c>
    </row>
    <row r="54" spans="2:5" x14ac:dyDescent="0.55000000000000004">
      <c r="C54" t="s">
        <v>494</v>
      </c>
    </row>
    <row r="55" spans="2:5" x14ac:dyDescent="0.55000000000000004">
      <c r="D55" t="s">
        <v>496</v>
      </c>
    </row>
    <row r="56" spans="2:5" x14ac:dyDescent="0.55000000000000004">
      <c r="E56" t="s">
        <v>497</v>
      </c>
    </row>
    <row r="57" spans="2:5" x14ac:dyDescent="0.55000000000000004">
      <c r="D57" t="s">
        <v>495</v>
      </c>
    </row>
    <row r="59" spans="2:5" x14ac:dyDescent="0.55000000000000004">
      <c r="C59" t="s">
        <v>493</v>
      </c>
    </row>
    <row r="60" spans="2:5" x14ac:dyDescent="0.55000000000000004">
      <c r="C60" t="s">
        <v>491</v>
      </c>
    </row>
    <row r="61" spans="2:5" x14ac:dyDescent="0.55000000000000004">
      <c r="B61" t="s">
        <v>163</v>
      </c>
    </row>
    <row r="62" spans="2:5" x14ac:dyDescent="0.55000000000000004">
      <c r="C62" t="s">
        <v>172</v>
      </c>
    </row>
    <row r="63" spans="2:5" x14ac:dyDescent="0.55000000000000004">
      <c r="D63" t="s">
        <v>487</v>
      </c>
    </row>
    <row r="64" spans="2:5" x14ac:dyDescent="0.55000000000000004">
      <c r="D64" t="s">
        <v>488</v>
      </c>
    </row>
    <row r="65" spans="2:3" x14ac:dyDescent="0.55000000000000004">
      <c r="C65" t="s">
        <v>484</v>
      </c>
    </row>
    <row r="66" spans="2:3" x14ac:dyDescent="0.55000000000000004">
      <c r="B66" t="s">
        <v>390</v>
      </c>
    </row>
    <row r="67" spans="2:3" x14ac:dyDescent="0.55000000000000004">
      <c r="C67" t="s">
        <v>489</v>
      </c>
    </row>
    <row r="68" spans="2:3" x14ac:dyDescent="0.55000000000000004">
      <c r="B68" t="s">
        <v>485</v>
      </c>
    </row>
    <row r="69" spans="2:3" x14ac:dyDescent="0.55000000000000004">
      <c r="B69" t="s">
        <v>486</v>
      </c>
    </row>
    <row r="71" spans="2:3" x14ac:dyDescent="0.55000000000000004">
      <c r="B71" s="176" t="s">
        <v>504</v>
      </c>
    </row>
    <row r="73" spans="2:3" x14ac:dyDescent="0.55000000000000004">
      <c r="B73" t="s">
        <v>501</v>
      </c>
    </row>
    <row r="74" spans="2:3" x14ac:dyDescent="0.55000000000000004">
      <c r="C74" t="s">
        <v>502</v>
      </c>
    </row>
    <row r="75" spans="2:3" x14ac:dyDescent="0.55000000000000004">
      <c r="C75" t="s">
        <v>503</v>
      </c>
    </row>
    <row r="76" spans="2:3" x14ac:dyDescent="0.55000000000000004">
      <c r="B76" t="s">
        <v>508</v>
      </c>
    </row>
    <row r="77" spans="2:3" x14ac:dyDescent="0.55000000000000004">
      <c r="C77" t="s">
        <v>509</v>
      </c>
    </row>
    <row r="78" spans="2:3" x14ac:dyDescent="0.55000000000000004">
      <c r="C78" t="s">
        <v>498</v>
      </c>
    </row>
    <row r="79" spans="2:3" x14ac:dyDescent="0.55000000000000004">
      <c r="B79" t="s">
        <v>499</v>
      </c>
    </row>
    <row r="80" spans="2:3" x14ac:dyDescent="0.55000000000000004">
      <c r="C80" t="s">
        <v>500</v>
      </c>
    </row>
    <row r="81" spans="2:6" x14ac:dyDescent="0.55000000000000004">
      <c r="B81" t="s">
        <v>505</v>
      </c>
    </row>
    <row r="82" spans="2:6" x14ac:dyDescent="0.55000000000000004">
      <c r="C82" t="s">
        <v>506</v>
      </c>
    </row>
    <row r="83" spans="2:6" x14ac:dyDescent="0.55000000000000004">
      <c r="C83" t="s">
        <v>507</v>
      </c>
    </row>
    <row r="84" spans="2:6" x14ac:dyDescent="0.55000000000000004">
      <c r="B84" t="s">
        <v>510</v>
      </c>
    </row>
    <row r="85" spans="2:6" x14ac:dyDescent="0.55000000000000004">
      <c r="C85" t="s">
        <v>511</v>
      </c>
    </row>
    <row r="87" spans="2:6" x14ac:dyDescent="0.55000000000000004">
      <c r="B87" t="s">
        <v>512</v>
      </c>
    </row>
    <row r="88" spans="2:6" x14ac:dyDescent="0.55000000000000004">
      <c r="C88" t="s">
        <v>513</v>
      </c>
    </row>
    <row r="89" spans="2:6" x14ac:dyDescent="0.55000000000000004">
      <c r="C89" t="s">
        <v>514</v>
      </c>
    </row>
    <row r="90" spans="2:6" x14ac:dyDescent="0.55000000000000004">
      <c r="C90" t="s">
        <v>515</v>
      </c>
    </row>
    <row r="91" spans="2:6" x14ac:dyDescent="0.55000000000000004">
      <c r="C91" t="s">
        <v>516</v>
      </c>
    </row>
    <row r="92" spans="2:6" x14ac:dyDescent="0.55000000000000004">
      <c r="D92" t="s">
        <v>517</v>
      </c>
    </row>
    <row r="93" spans="2:6" x14ac:dyDescent="0.55000000000000004">
      <c r="D93" t="s">
        <v>518</v>
      </c>
    </row>
    <row r="94" spans="2:6" x14ac:dyDescent="0.55000000000000004">
      <c r="E94" t="s">
        <v>519</v>
      </c>
    </row>
    <row r="95" spans="2:6" x14ac:dyDescent="0.55000000000000004">
      <c r="E95" t="s">
        <v>520</v>
      </c>
    </row>
    <row r="96" spans="2:6" x14ac:dyDescent="0.55000000000000004">
      <c r="F96" t="s">
        <v>521</v>
      </c>
    </row>
    <row r="97" spans="2:5" x14ac:dyDescent="0.55000000000000004">
      <c r="D97" t="s">
        <v>522</v>
      </c>
    </row>
    <row r="98" spans="2:5" x14ac:dyDescent="0.55000000000000004">
      <c r="E98" t="s">
        <v>524</v>
      </c>
    </row>
    <row r="99" spans="2:5" x14ac:dyDescent="0.55000000000000004">
      <c r="E99" t="s">
        <v>523</v>
      </c>
    </row>
    <row r="100" spans="2:5" x14ac:dyDescent="0.55000000000000004">
      <c r="B100" t="s">
        <v>529</v>
      </c>
    </row>
    <row r="101" spans="2:5" x14ac:dyDescent="0.55000000000000004">
      <c r="C101" t="s">
        <v>530</v>
      </c>
    </row>
    <row r="102" spans="2:5" x14ac:dyDescent="0.55000000000000004">
      <c r="C102" t="s">
        <v>531</v>
      </c>
    </row>
    <row r="103" spans="2:5" x14ac:dyDescent="0.55000000000000004">
      <c r="B103" t="s">
        <v>323</v>
      </c>
    </row>
    <row r="104" spans="2:5" x14ac:dyDescent="0.55000000000000004">
      <c r="C104" t="s">
        <v>525</v>
      </c>
    </row>
    <row r="105" spans="2:5" x14ac:dyDescent="0.55000000000000004">
      <c r="D105" t="s">
        <v>526</v>
      </c>
    </row>
    <row r="106" spans="2:5" x14ac:dyDescent="0.55000000000000004">
      <c r="B106" t="s">
        <v>527</v>
      </c>
    </row>
    <row r="107" spans="2:5" x14ac:dyDescent="0.55000000000000004">
      <c r="C107" t="s">
        <v>528</v>
      </c>
    </row>
    <row r="108" spans="2:5" x14ac:dyDescent="0.55000000000000004">
      <c r="B108" t="s">
        <v>532</v>
      </c>
    </row>
    <row r="109" spans="2:5" x14ac:dyDescent="0.55000000000000004">
      <c r="C109" t="s">
        <v>533</v>
      </c>
    </row>
    <row r="110" spans="2:5" x14ac:dyDescent="0.55000000000000004">
      <c r="C110" t="s">
        <v>534</v>
      </c>
    </row>
    <row r="111" spans="2:5" x14ac:dyDescent="0.55000000000000004">
      <c r="D111" t="s">
        <v>535</v>
      </c>
    </row>
    <row r="112" spans="2:5" x14ac:dyDescent="0.55000000000000004">
      <c r="D112" t="s">
        <v>536</v>
      </c>
    </row>
    <row r="113" spans="2:5" x14ac:dyDescent="0.55000000000000004">
      <c r="E113" t="s">
        <v>537</v>
      </c>
    </row>
    <row r="114" spans="2:5" x14ac:dyDescent="0.55000000000000004">
      <c r="E114" t="s">
        <v>538</v>
      </c>
    </row>
    <row r="115" spans="2:5" x14ac:dyDescent="0.55000000000000004">
      <c r="C115" t="s">
        <v>539</v>
      </c>
    </row>
    <row r="116" spans="2:5" x14ac:dyDescent="0.55000000000000004">
      <c r="D116" t="s">
        <v>540</v>
      </c>
    </row>
    <row r="118" spans="2:5" x14ac:dyDescent="0.55000000000000004">
      <c r="B118" s="152" t="s">
        <v>574</v>
      </c>
    </row>
    <row r="120" spans="2:5" x14ac:dyDescent="0.55000000000000004">
      <c r="B120" t="s">
        <v>162</v>
      </c>
    </row>
    <row r="122" spans="2:5" x14ac:dyDescent="0.55000000000000004">
      <c r="B122" t="s">
        <v>572</v>
      </c>
    </row>
    <row r="123" spans="2:5" x14ac:dyDescent="0.55000000000000004">
      <c r="B123" t="s">
        <v>571</v>
      </c>
    </row>
    <row r="124" spans="2:5" x14ac:dyDescent="0.55000000000000004">
      <c r="C124" t="s">
        <v>569</v>
      </c>
    </row>
    <row r="125" spans="2:5" x14ac:dyDescent="0.55000000000000004">
      <c r="C125" t="s">
        <v>570</v>
      </c>
    </row>
    <row r="126" spans="2:5" x14ac:dyDescent="0.55000000000000004">
      <c r="B126" t="s">
        <v>573</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C8317-64ED-4F73-871B-FFFCAE18F432}">
  <dimension ref="B1:R209"/>
  <sheetViews>
    <sheetView topLeftCell="A71" zoomScale="59" workbookViewId="0">
      <selection activeCell="I105" sqref="I105"/>
    </sheetView>
  </sheetViews>
  <sheetFormatPr defaultRowHeight="14.4" x14ac:dyDescent="0.55000000000000004"/>
  <cols>
    <col min="2" max="2" width="23.41796875" bestFit="1" customWidth="1"/>
    <col min="8" max="9" width="8.83984375" customWidth="1"/>
  </cols>
  <sheetData>
    <row r="1" spans="2:18" x14ac:dyDescent="0.55000000000000004">
      <c r="B1" s="66"/>
      <c r="C1" s="66"/>
      <c r="D1" s="66"/>
      <c r="E1" s="66"/>
      <c r="F1" s="66"/>
      <c r="G1" s="66"/>
      <c r="H1" s="66"/>
      <c r="I1" s="66"/>
      <c r="J1" s="66"/>
      <c r="K1" s="66"/>
      <c r="L1" s="66"/>
      <c r="M1" s="66"/>
      <c r="N1" s="66"/>
      <c r="O1" s="66"/>
      <c r="P1" s="66"/>
      <c r="Q1" s="66"/>
      <c r="R1" s="66"/>
    </row>
    <row r="2" spans="2:18" x14ac:dyDescent="0.55000000000000004">
      <c r="B2" s="68" t="s">
        <v>950</v>
      </c>
      <c r="C2" s="68"/>
      <c r="D2" s="92">
        <v>2019</v>
      </c>
      <c r="E2" s="92">
        <v>2020</v>
      </c>
      <c r="F2" s="92">
        <v>2021</v>
      </c>
      <c r="G2" s="92">
        <v>2022</v>
      </c>
      <c r="H2" s="92">
        <v>2023</v>
      </c>
      <c r="I2" s="92">
        <v>2024</v>
      </c>
      <c r="J2" s="92">
        <f t="shared" ref="J2:O2" si="0">I2+1</f>
        <v>2025</v>
      </c>
      <c r="K2" s="92">
        <f t="shared" si="0"/>
        <v>2026</v>
      </c>
      <c r="L2" s="92">
        <f t="shared" si="0"/>
        <v>2027</v>
      </c>
      <c r="M2" s="92">
        <f t="shared" si="0"/>
        <v>2028</v>
      </c>
      <c r="N2" s="92">
        <f t="shared" si="0"/>
        <v>2029</v>
      </c>
      <c r="O2" s="92">
        <f t="shared" si="0"/>
        <v>2030</v>
      </c>
      <c r="P2" s="66"/>
      <c r="Q2" s="92" t="s">
        <v>948</v>
      </c>
      <c r="R2" s="66"/>
    </row>
    <row r="3" spans="2:18" x14ac:dyDescent="0.55000000000000004">
      <c r="B3" s="66" t="s">
        <v>958</v>
      </c>
      <c r="C3" s="66"/>
      <c r="D3" s="66"/>
      <c r="E3" s="66"/>
      <c r="F3" s="66"/>
      <c r="G3" s="140">
        <v>26.2</v>
      </c>
      <c r="H3" s="66">
        <v>38</v>
      </c>
      <c r="I3" s="66">
        <f t="shared" ref="I3:O3" si="1">H3+I6</f>
        <v>50</v>
      </c>
      <c r="J3" s="66">
        <f t="shared" si="1"/>
        <v>58</v>
      </c>
      <c r="K3" s="66">
        <f t="shared" si="1"/>
        <v>64</v>
      </c>
      <c r="L3" s="66">
        <f t="shared" si="1"/>
        <v>68</v>
      </c>
      <c r="M3" s="66">
        <f t="shared" si="1"/>
        <v>72</v>
      </c>
      <c r="N3" s="66">
        <f t="shared" si="1"/>
        <v>76</v>
      </c>
      <c r="O3" s="66">
        <f t="shared" si="1"/>
        <v>80</v>
      </c>
      <c r="P3" s="66"/>
      <c r="Q3" s="66">
        <v>45</v>
      </c>
      <c r="R3" s="66"/>
    </row>
    <row r="4" spans="2:18" x14ac:dyDescent="0.55000000000000004">
      <c r="B4" s="66" t="s">
        <v>1006</v>
      </c>
      <c r="C4" s="66"/>
      <c r="D4" s="66"/>
      <c r="E4" s="66"/>
      <c r="F4" s="66"/>
      <c r="G4" s="140"/>
      <c r="H4" s="66"/>
      <c r="I4" s="66"/>
      <c r="J4" s="66"/>
      <c r="K4" s="66"/>
      <c r="L4" s="66"/>
      <c r="M4" s="66"/>
      <c r="N4" s="66"/>
      <c r="O4" s="66"/>
      <c r="P4" s="66"/>
      <c r="Q4" s="66"/>
      <c r="R4" s="66"/>
    </row>
    <row r="5" spans="2:18" x14ac:dyDescent="0.55000000000000004">
      <c r="B5" s="66"/>
      <c r="C5" s="66"/>
      <c r="D5" s="66"/>
      <c r="E5" s="66"/>
      <c r="F5" s="66"/>
      <c r="G5" s="140"/>
      <c r="H5" s="66"/>
      <c r="I5" s="66"/>
      <c r="J5" s="66"/>
      <c r="K5" s="66"/>
      <c r="L5" s="66"/>
      <c r="M5" s="66"/>
      <c r="N5" s="66"/>
      <c r="O5" s="66"/>
      <c r="P5" s="66"/>
      <c r="Q5" s="66"/>
      <c r="R5" s="66"/>
    </row>
    <row r="6" spans="2:18" x14ac:dyDescent="0.55000000000000004">
      <c r="B6" s="66" t="s">
        <v>462</v>
      </c>
      <c r="C6" s="66"/>
      <c r="D6" s="66"/>
      <c r="E6" s="66"/>
      <c r="F6" s="66"/>
      <c r="G6" s="140"/>
      <c r="H6" s="140">
        <f>H3-G3</f>
        <v>11.8</v>
      </c>
      <c r="I6" s="269">
        <v>12</v>
      </c>
      <c r="J6" s="269">
        <v>8</v>
      </c>
      <c r="K6" s="269">
        <v>6</v>
      </c>
      <c r="L6" s="269">
        <v>4</v>
      </c>
      <c r="M6" s="269">
        <v>4</v>
      </c>
      <c r="N6" s="269">
        <v>4</v>
      </c>
      <c r="O6" s="269">
        <v>4</v>
      </c>
      <c r="P6" s="66"/>
      <c r="Q6" s="66">
        <f>Q3-H3</f>
        <v>7</v>
      </c>
      <c r="R6" s="66"/>
    </row>
    <row r="7" spans="2:18" x14ac:dyDescent="0.55000000000000004">
      <c r="B7" s="66"/>
      <c r="C7" s="66"/>
      <c r="D7" s="66"/>
      <c r="E7" s="66"/>
      <c r="F7" s="66"/>
      <c r="G7" s="66"/>
      <c r="H7" s="66"/>
      <c r="I7" s="66"/>
      <c r="J7" s="66"/>
      <c r="K7" s="66"/>
      <c r="L7" s="66"/>
      <c r="M7" s="66"/>
      <c r="N7" s="66"/>
      <c r="O7" s="66"/>
      <c r="P7" s="66"/>
      <c r="Q7" s="66"/>
      <c r="R7" s="66"/>
    </row>
    <row r="8" spans="2:18" x14ac:dyDescent="0.55000000000000004">
      <c r="B8" s="67" t="s">
        <v>90</v>
      </c>
      <c r="C8" s="66"/>
      <c r="D8" s="66"/>
      <c r="E8" s="66"/>
      <c r="F8" s="66"/>
      <c r="G8" s="66"/>
      <c r="H8" s="66"/>
      <c r="I8" s="66"/>
      <c r="J8" s="66"/>
      <c r="K8" s="66"/>
      <c r="L8" s="66"/>
      <c r="M8" s="66"/>
      <c r="N8" s="66"/>
      <c r="O8" s="66"/>
      <c r="P8" s="66"/>
      <c r="Q8" s="66"/>
      <c r="R8" s="66"/>
    </row>
    <row r="9" spans="2:18" x14ac:dyDescent="0.55000000000000004">
      <c r="B9" s="66" t="s">
        <v>310</v>
      </c>
      <c r="C9" s="66"/>
      <c r="D9" s="66"/>
      <c r="E9" s="66"/>
      <c r="F9" s="66"/>
      <c r="G9" s="140">
        <v>81.090999999999994</v>
      </c>
      <c r="H9" s="140">
        <f>H$16*H26</f>
        <v>498.94500000000005</v>
      </c>
      <c r="I9" s="140">
        <f>I57</f>
        <v>696.62057513523825</v>
      </c>
      <c r="J9" s="140">
        <f t="shared" ref="J9:O9" si="2">J57</f>
        <v>791.6876617773944</v>
      </c>
      <c r="K9" s="140">
        <f t="shared" si="2"/>
        <v>852.57154155881506</v>
      </c>
      <c r="L9" s="140">
        <f t="shared" si="2"/>
        <v>869.74489502444635</v>
      </c>
      <c r="M9" s="140">
        <f t="shared" si="2"/>
        <v>1000.1682484900778</v>
      </c>
      <c r="N9" s="140">
        <f t="shared" si="2"/>
        <v>1130.5916019557089</v>
      </c>
      <c r="O9" s="140">
        <f t="shared" si="2"/>
        <v>1261.0149554213403</v>
      </c>
      <c r="P9" s="66"/>
      <c r="Q9" s="66"/>
      <c r="R9" s="66"/>
    </row>
    <row r="10" spans="2:18" x14ac:dyDescent="0.55000000000000004">
      <c r="B10" s="66"/>
      <c r="C10" s="66"/>
      <c r="D10" s="66"/>
      <c r="E10" s="66"/>
      <c r="F10" s="66"/>
      <c r="G10" s="66"/>
      <c r="H10" s="140"/>
      <c r="I10" s="66"/>
      <c r="J10" s="66"/>
      <c r="K10" s="66"/>
      <c r="L10" s="66"/>
      <c r="M10" s="66"/>
      <c r="N10" s="66"/>
      <c r="O10" s="66"/>
      <c r="P10" s="66"/>
      <c r="Q10" s="66"/>
      <c r="R10" s="66"/>
    </row>
    <row r="11" spans="2:18" x14ac:dyDescent="0.55000000000000004">
      <c r="B11" s="66" t="s">
        <v>960</v>
      </c>
      <c r="C11" s="66"/>
      <c r="D11" s="66"/>
      <c r="E11" s="66"/>
      <c r="F11" s="66"/>
      <c r="G11" s="140">
        <v>306.3</v>
      </c>
      <c r="H11" s="140">
        <f>H$16*H28</f>
        <v>486.35900000000004</v>
      </c>
      <c r="I11" s="140">
        <f>I41</f>
        <v>706.11260163249551</v>
      </c>
      <c r="J11" s="140">
        <f t="shared" ref="J11:O11" si="3">J41</f>
        <v>909.31714796300344</v>
      </c>
      <c r="K11" s="140">
        <f t="shared" si="3"/>
        <v>1067.0558368953612</v>
      </c>
      <c r="L11" s="140">
        <f t="shared" si="3"/>
        <v>1178.4007937887902</v>
      </c>
      <c r="M11" s="140">
        <f t="shared" si="3"/>
        <v>1261.9095114588617</v>
      </c>
      <c r="N11" s="140">
        <f t="shared" si="3"/>
        <v>1336.1394827211477</v>
      </c>
      <c r="O11" s="140">
        <f t="shared" si="3"/>
        <v>1410.3694539834337</v>
      </c>
      <c r="P11" s="66"/>
      <c r="Q11" s="66"/>
      <c r="R11" s="66"/>
    </row>
    <row r="12" spans="2:18" x14ac:dyDescent="0.55000000000000004">
      <c r="B12" s="66" t="s">
        <v>954</v>
      </c>
      <c r="C12" s="66"/>
      <c r="D12" s="66"/>
      <c r="E12" s="66"/>
      <c r="F12" s="66"/>
      <c r="G12" s="140">
        <v>158.69999999999999</v>
      </c>
      <c r="H12" s="140">
        <f>H$16*H29</f>
        <v>243.62900000000002</v>
      </c>
      <c r="I12" s="140">
        <f>I73</f>
        <v>333.94629283489098</v>
      </c>
      <c r="J12" s="140">
        <f t="shared" ref="J12:O12" si="4">J73</f>
        <v>401.03913894081001</v>
      </c>
      <c r="K12" s="140">
        <f t="shared" si="4"/>
        <v>434.73735576323992</v>
      </c>
      <c r="L12" s="140">
        <f t="shared" si="4"/>
        <v>450.52390778816192</v>
      </c>
      <c r="M12" s="140">
        <f t="shared" si="4"/>
        <v>456.5956585669781</v>
      </c>
      <c r="N12" s="140">
        <f t="shared" si="4"/>
        <v>460.2387090342678</v>
      </c>
      <c r="O12" s="140">
        <f t="shared" si="4"/>
        <v>461.45305919003101</v>
      </c>
      <c r="P12" s="66"/>
      <c r="Q12" s="66"/>
      <c r="R12" s="66"/>
    </row>
    <row r="13" spans="2:18" x14ac:dyDescent="0.55000000000000004">
      <c r="B13" s="66" t="s">
        <v>956</v>
      </c>
      <c r="C13" s="66"/>
      <c r="D13" s="66"/>
      <c r="E13" s="66"/>
      <c r="F13" s="66"/>
      <c r="G13" s="66"/>
      <c r="H13" s="140">
        <f>H$16*H30</f>
        <v>305.66000000000003</v>
      </c>
      <c r="I13" s="140">
        <f>I65</f>
        <v>331.05243343511893</v>
      </c>
      <c r="J13" s="140">
        <f t="shared" ref="J13:O13" si="5">J65</f>
        <v>364.01549310807349</v>
      </c>
      <c r="K13" s="140">
        <f t="shared" si="5"/>
        <v>400.51918786564318</v>
      </c>
      <c r="L13" s="140">
        <f t="shared" si="5"/>
        <v>441.72366667617945</v>
      </c>
      <c r="M13" s="140">
        <f t="shared" si="5"/>
        <v>479.55841430181806</v>
      </c>
      <c r="N13" s="140">
        <f t="shared" si="5"/>
        <v>611.66203503162023</v>
      </c>
      <c r="O13" s="140">
        <f t="shared" si="5"/>
        <v>562.52148994060531</v>
      </c>
      <c r="P13" s="66"/>
      <c r="Q13" s="66"/>
      <c r="R13" s="66"/>
    </row>
    <row r="14" spans="2:18" x14ac:dyDescent="0.55000000000000004">
      <c r="B14" s="66" t="s">
        <v>955</v>
      </c>
      <c r="C14" s="66"/>
      <c r="D14" s="66"/>
      <c r="E14" s="66"/>
      <c r="F14" s="66"/>
      <c r="G14" s="66"/>
      <c r="H14" s="140">
        <f>H$16*H31</f>
        <v>89.9</v>
      </c>
      <c r="I14" s="275">
        <f>H14*1.2</f>
        <v>107.88000000000001</v>
      </c>
      <c r="J14" s="275">
        <f t="shared" ref="J14:O14" si="6">I14*1.2</f>
        <v>129.45600000000002</v>
      </c>
      <c r="K14" s="275">
        <f t="shared" si="6"/>
        <v>155.34720000000002</v>
      </c>
      <c r="L14" s="275">
        <f t="shared" si="6"/>
        <v>186.41664</v>
      </c>
      <c r="M14" s="275">
        <f t="shared" si="6"/>
        <v>223.69996799999998</v>
      </c>
      <c r="N14" s="275">
        <f t="shared" si="6"/>
        <v>268.43996159999995</v>
      </c>
      <c r="O14" s="275">
        <f t="shared" si="6"/>
        <v>322.12795391999992</v>
      </c>
      <c r="P14" s="66"/>
      <c r="Q14" s="66"/>
      <c r="R14" s="66"/>
    </row>
    <row r="15" spans="2:18" x14ac:dyDescent="0.55000000000000004">
      <c r="B15" s="87" t="s">
        <v>321</v>
      </c>
      <c r="C15" s="87"/>
      <c r="D15" s="87"/>
      <c r="E15" s="87"/>
      <c r="F15" s="87"/>
      <c r="G15" s="87"/>
      <c r="H15" s="235">
        <f>H$16*H32</f>
        <v>173.50699999999986</v>
      </c>
      <c r="I15" s="235">
        <f>I77</f>
        <v>251.90338653432812</v>
      </c>
      <c r="J15" s="235">
        <f t="shared" ref="J15:O15" si="7">J77</f>
        <v>314.87923316791017</v>
      </c>
      <c r="K15" s="235">
        <f t="shared" si="7"/>
        <v>377.8550798014922</v>
      </c>
      <c r="L15" s="235">
        <f t="shared" si="7"/>
        <v>453.42609576179063</v>
      </c>
      <c r="M15" s="235">
        <f t="shared" si="7"/>
        <v>544.11131491414869</v>
      </c>
      <c r="N15" s="235">
        <f t="shared" si="7"/>
        <v>652.93357789697836</v>
      </c>
      <c r="O15" s="235">
        <f t="shared" si="7"/>
        <v>783.52029347637404</v>
      </c>
      <c r="P15" s="66"/>
      <c r="Q15" s="87"/>
      <c r="R15" s="66"/>
    </row>
    <row r="16" spans="2:18" x14ac:dyDescent="0.55000000000000004">
      <c r="B16" s="67" t="s">
        <v>985</v>
      </c>
      <c r="C16" s="67"/>
      <c r="D16" s="67">
        <v>167</v>
      </c>
      <c r="E16" s="67">
        <v>222</v>
      </c>
      <c r="F16" s="67">
        <v>638</v>
      </c>
      <c r="G16" s="67">
        <v>923</v>
      </c>
      <c r="H16" s="67">
        <v>1798</v>
      </c>
      <c r="I16" s="236">
        <f>I9+SUM(I11:I15)</f>
        <v>2427.5152895720717</v>
      </c>
      <c r="J16" s="236">
        <f t="shared" ref="J16:O16" si="8">J9+SUM(J11:J15)</f>
        <v>2910.3946749571915</v>
      </c>
      <c r="K16" s="236">
        <f t="shared" si="8"/>
        <v>3288.0862018845519</v>
      </c>
      <c r="L16" s="236">
        <f t="shared" si="8"/>
        <v>3580.2359990393688</v>
      </c>
      <c r="M16" s="236">
        <f t="shared" si="8"/>
        <v>3966.0431157318844</v>
      </c>
      <c r="N16" s="236">
        <f t="shared" si="8"/>
        <v>4460.0053682397229</v>
      </c>
      <c r="O16" s="236">
        <f t="shared" si="8"/>
        <v>4801.0072059317845</v>
      </c>
      <c r="P16" s="66"/>
      <c r="Q16" s="67"/>
      <c r="R16" s="66"/>
    </row>
    <row r="17" spans="2:18" x14ac:dyDescent="0.55000000000000004">
      <c r="B17" s="66" t="s">
        <v>393</v>
      </c>
      <c r="C17" s="67"/>
      <c r="D17" s="67"/>
      <c r="E17" s="171">
        <f t="shared" ref="E17:O17" si="9">E16/D16-1</f>
        <v>0.3293413173652695</v>
      </c>
      <c r="F17" s="171">
        <f t="shared" si="9"/>
        <v>1.8738738738738738</v>
      </c>
      <c r="G17" s="171">
        <f t="shared" si="9"/>
        <v>0.44670846394984332</v>
      </c>
      <c r="H17" s="171">
        <f t="shared" si="9"/>
        <v>0.94799566630552556</v>
      </c>
      <c r="I17" s="171">
        <f t="shared" si="9"/>
        <v>0.35011973836044019</v>
      </c>
      <c r="J17" s="171">
        <f t="shared" si="9"/>
        <v>0.19891919423100446</v>
      </c>
      <c r="K17" s="171">
        <f t="shared" si="9"/>
        <v>0.12977330194328918</v>
      </c>
      <c r="L17" s="171">
        <f t="shared" si="9"/>
        <v>8.8851015215894558E-2</v>
      </c>
      <c r="M17" s="171">
        <f t="shared" si="9"/>
        <v>0.10776024731219769</v>
      </c>
      <c r="N17" s="171">
        <f t="shared" si="9"/>
        <v>0.12454787759327823</v>
      </c>
      <c r="O17" s="171">
        <f t="shared" si="9"/>
        <v>7.6457719114057632E-2</v>
      </c>
      <c r="P17" s="66"/>
      <c r="Q17" s="67"/>
      <c r="R17" s="66"/>
    </row>
    <row r="18" spans="2:18" x14ac:dyDescent="0.55000000000000004">
      <c r="B18" s="66"/>
      <c r="C18" s="67"/>
      <c r="D18" s="67"/>
      <c r="E18" s="171"/>
      <c r="F18" s="171"/>
      <c r="G18" s="171"/>
      <c r="H18" s="171"/>
      <c r="I18" s="171"/>
      <c r="J18" s="171"/>
      <c r="K18" s="171"/>
      <c r="L18" s="171"/>
      <c r="M18" s="171"/>
      <c r="N18" s="171"/>
      <c r="O18" s="171"/>
      <c r="P18" s="66"/>
      <c r="Q18" s="67"/>
      <c r="R18" s="66"/>
    </row>
    <row r="19" spans="2:18" x14ac:dyDescent="0.55000000000000004">
      <c r="B19" s="66" t="s">
        <v>1015</v>
      </c>
      <c r="C19" s="67"/>
      <c r="D19" s="67"/>
      <c r="E19" s="171"/>
      <c r="F19" s="171"/>
      <c r="G19" s="171"/>
      <c r="H19" s="133">
        <f>H16/AVERAGE(G3,H3)/12</f>
        <v>4.6677050882658362</v>
      </c>
      <c r="I19" s="133">
        <f t="shared" ref="I19:O19" si="10">I16/AVERAGE(H3,I3)/12</f>
        <v>4.597566836310742</v>
      </c>
      <c r="J19" s="133">
        <f t="shared" si="10"/>
        <v>4.4913498070327025</v>
      </c>
      <c r="K19" s="133">
        <f t="shared" si="10"/>
        <v>4.4919210408258907</v>
      </c>
      <c r="L19" s="133">
        <f t="shared" si="10"/>
        <v>4.5204999987870815</v>
      </c>
      <c r="M19" s="133">
        <f t="shared" si="10"/>
        <v>4.7214798996808147</v>
      </c>
      <c r="N19" s="133">
        <f t="shared" si="10"/>
        <v>5.0225285678375258</v>
      </c>
      <c r="O19" s="133">
        <f t="shared" si="10"/>
        <v>5.1292812029185733</v>
      </c>
      <c r="P19" s="66"/>
      <c r="Q19" s="67"/>
      <c r="R19" s="66"/>
    </row>
    <row r="20" spans="2:18" x14ac:dyDescent="0.55000000000000004">
      <c r="B20" s="66" t="s">
        <v>1016</v>
      </c>
      <c r="C20" s="67"/>
      <c r="D20" s="67"/>
      <c r="E20" s="171"/>
      <c r="F20" s="171"/>
      <c r="G20" s="282">
        <v>1.24</v>
      </c>
      <c r="H20" s="282">
        <v>1.24</v>
      </c>
      <c r="I20" s="283">
        <v>1.29</v>
      </c>
      <c r="J20" s="283">
        <f t="shared" ref="J20:O20" si="11">I20</f>
        <v>1.29</v>
      </c>
      <c r="K20" s="283">
        <f t="shared" si="11"/>
        <v>1.29</v>
      </c>
      <c r="L20" s="283">
        <f t="shared" si="11"/>
        <v>1.29</v>
      </c>
      <c r="M20" s="283">
        <f t="shared" si="11"/>
        <v>1.29</v>
      </c>
      <c r="N20" s="283">
        <f t="shared" si="11"/>
        <v>1.29</v>
      </c>
      <c r="O20" s="283">
        <f t="shared" si="11"/>
        <v>1.29</v>
      </c>
      <c r="P20" s="66"/>
      <c r="Q20" s="67"/>
      <c r="R20" s="66"/>
    </row>
    <row r="21" spans="2:18" x14ac:dyDescent="0.55000000000000004">
      <c r="B21" s="66" t="s">
        <v>1017</v>
      </c>
      <c r="C21" s="67"/>
      <c r="D21" s="67"/>
      <c r="E21" s="171"/>
      <c r="F21" s="171"/>
      <c r="G21" s="171"/>
      <c r="H21" s="133">
        <f>H19*H20</f>
        <v>5.7879543094496366</v>
      </c>
      <c r="I21" s="133">
        <f t="shared" ref="I21:O21" si="12">I19*I20</f>
        <v>5.9308612188408576</v>
      </c>
      <c r="J21" s="133">
        <f t="shared" si="12"/>
        <v>5.7938412510721866</v>
      </c>
      <c r="K21" s="133">
        <f t="shared" si="12"/>
        <v>5.7945781426653991</v>
      </c>
      <c r="L21" s="133">
        <f t="shared" si="12"/>
        <v>5.8314449984353356</v>
      </c>
      <c r="M21" s="133">
        <f t="shared" si="12"/>
        <v>6.0907090705882512</v>
      </c>
      <c r="N21" s="133">
        <f t="shared" si="12"/>
        <v>6.4790618525104087</v>
      </c>
      <c r="O21" s="133">
        <f t="shared" si="12"/>
        <v>6.6167727517649597</v>
      </c>
      <c r="P21" s="66"/>
      <c r="Q21" s="67"/>
      <c r="R21" s="66"/>
    </row>
    <row r="22" spans="2:18" x14ac:dyDescent="0.55000000000000004">
      <c r="B22" s="66"/>
      <c r="C22" s="67"/>
      <c r="D22" s="67"/>
      <c r="E22" s="171"/>
      <c r="F22" s="171"/>
      <c r="G22" s="171"/>
      <c r="H22" s="171"/>
      <c r="I22" s="171"/>
      <c r="J22" s="171"/>
      <c r="K22" s="171"/>
      <c r="L22" s="171"/>
      <c r="M22" s="171"/>
      <c r="N22" s="171"/>
      <c r="O22" s="171"/>
      <c r="P22" s="66"/>
      <c r="Q22" s="67"/>
      <c r="R22" s="66"/>
    </row>
    <row r="23" spans="2:18" x14ac:dyDescent="0.55000000000000004">
      <c r="B23" s="66" t="s">
        <v>1010</v>
      </c>
      <c r="C23" s="67"/>
      <c r="D23" s="67"/>
      <c r="E23" s="171"/>
      <c r="F23" s="171"/>
      <c r="G23" s="171"/>
      <c r="H23" s="171">
        <f>(H9-G9)/(H$16-G$16)</f>
        <v>0.47754742857142862</v>
      </c>
      <c r="I23" s="171">
        <f t="shared" ref="I23:O23" si="13">(I9-H9)/(I$16-H$16)</f>
        <v>0.31401234951674167</v>
      </c>
      <c r="J23" s="171">
        <f t="shared" si="13"/>
        <v>0.19687543001309843</v>
      </c>
      <c r="K23" s="171">
        <f t="shared" si="13"/>
        <v>0.1612000149347543</v>
      </c>
      <c r="L23" s="171">
        <f t="shared" si="13"/>
        <v>5.8782698577506579E-2</v>
      </c>
      <c r="M23" s="171">
        <f t="shared" si="13"/>
        <v>0.33805325983547763</v>
      </c>
      <c r="N23" s="171">
        <f t="shared" si="13"/>
        <v>0.26403506098588281</v>
      </c>
      <c r="O23" s="171">
        <f t="shared" si="13"/>
        <v>0.38247111613342377</v>
      </c>
      <c r="P23" s="66"/>
      <c r="Q23" s="67"/>
      <c r="R23" s="66"/>
    </row>
    <row r="24" spans="2:18" x14ac:dyDescent="0.55000000000000004">
      <c r="B24" s="66"/>
      <c r="C24" s="66"/>
      <c r="D24" s="66"/>
      <c r="E24" s="66"/>
      <c r="F24" s="66"/>
      <c r="G24" s="66"/>
      <c r="H24" s="66"/>
      <c r="I24" s="66"/>
      <c r="J24" s="66"/>
      <c r="K24" s="66"/>
      <c r="L24" s="66"/>
      <c r="M24" s="66"/>
      <c r="N24" s="66"/>
      <c r="O24" s="66"/>
      <c r="P24" s="66"/>
      <c r="Q24" s="66"/>
      <c r="R24" s="66"/>
    </row>
    <row r="25" spans="2:18" x14ac:dyDescent="0.55000000000000004">
      <c r="B25" s="67" t="s">
        <v>961</v>
      </c>
      <c r="C25" s="66"/>
      <c r="D25" s="66"/>
      <c r="E25" s="66"/>
      <c r="F25" s="66"/>
      <c r="G25" s="66"/>
      <c r="H25" s="66"/>
      <c r="I25" s="66"/>
      <c r="J25" s="66"/>
      <c r="K25" s="66"/>
      <c r="L25" s="66"/>
      <c r="M25" s="66"/>
      <c r="N25" s="66"/>
      <c r="O25" s="66"/>
      <c r="P25" s="66"/>
      <c r="Q25" s="66"/>
      <c r="R25" s="66"/>
    </row>
    <row r="26" spans="2:18" x14ac:dyDescent="0.55000000000000004">
      <c r="B26" s="66" t="s">
        <v>310</v>
      </c>
      <c r="C26" s="66"/>
      <c r="D26" s="66"/>
      <c r="E26" s="66"/>
      <c r="F26" s="66"/>
      <c r="G26" s="134">
        <f>G9/G$16</f>
        <v>8.7855904658721548E-2</v>
      </c>
      <c r="H26" s="134">
        <v>0.27750000000000002</v>
      </c>
      <c r="I26" s="134">
        <f>I9/I$16</f>
        <v>0.28696856334035292</v>
      </c>
      <c r="J26" s="134">
        <f t="shared" ref="J26:O26" si="14">J9/J$16</f>
        <v>0.27202072234036068</v>
      </c>
      <c r="K26" s="134">
        <f t="shared" si="14"/>
        <v>0.25929111623356088</v>
      </c>
      <c r="L26" s="134">
        <f t="shared" si="14"/>
        <v>0.24292948712258408</v>
      </c>
      <c r="M26" s="134">
        <f t="shared" si="14"/>
        <v>0.25218289849718617</v>
      </c>
      <c r="N26" s="134">
        <f t="shared" si="14"/>
        <v>0.2534955697602515</v>
      </c>
      <c r="O26" s="134">
        <f t="shared" si="14"/>
        <v>0.26265633466730054</v>
      </c>
      <c r="P26" s="66"/>
      <c r="Q26" s="66"/>
      <c r="R26" s="66"/>
    </row>
    <row r="27" spans="2:18" x14ac:dyDescent="0.55000000000000004">
      <c r="B27" s="66"/>
      <c r="C27" s="66"/>
      <c r="D27" s="66"/>
      <c r="E27" s="66"/>
      <c r="F27" s="66"/>
      <c r="G27" s="66"/>
      <c r="H27" s="134"/>
      <c r="I27" s="66"/>
      <c r="J27" s="66"/>
      <c r="K27" s="66"/>
      <c r="L27" s="66"/>
      <c r="M27" s="66"/>
      <c r="N27" s="66"/>
      <c r="O27" s="66"/>
      <c r="P27" s="66"/>
      <c r="Q27" s="66"/>
      <c r="R27" s="66"/>
    </row>
    <row r="28" spans="2:18" x14ac:dyDescent="0.55000000000000004">
      <c r="B28" s="66" t="s">
        <v>960</v>
      </c>
      <c r="C28" s="66"/>
      <c r="D28" s="66"/>
      <c r="E28" s="66"/>
      <c r="F28" s="66"/>
      <c r="G28" s="134">
        <f>G11/G$16</f>
        <v>0.33185265438786565</v>
      </c>
      <c r="H28" s="134">
        <v>0.27050000000000002</v>
      </c>
      <c r="I28" s="134">
        <f t="shared" ref="I28:I33" si="15">I11/I$16</f>
        <v>0.29087874530214425</v>
      </c>
      <c r="J28" s="134">
        <f t="shared" ref="J28:O28" si="16">J11/J$16</f>
        <v>0.31243774453936507</v>
      </c>
      <c r="K28" s="134">
        <f t="shared" si="16"/>
        <v>0.32452185599142225</v>
      </c>
      <c r="L28" s="134">
        <f t="shared" si="16"/>
        <v>0.32914053545771088</v>
      </c>
      <c r="M28" s="134">
        <f t="shared" si="16"/>
        <v>0.31817846519451964</v>
      </c>
      <c r="N28" s="134">
        <f t="shared" si="16"/>
        <v>0.2995824830696327</v>
      </c>
      <c r="O28" s="134">
        <f t="shared" si="16"/>
        <v>0.29376532745897177</v>
      </c>
      <c r="P28" s="66"/>
      <c r="Q28" s="66"/>
      <c r="R28" s="66"/>
    </row>
    <row r="29" spans="2:18" x14ac:dyDescent="0.55000000000000004">
      <c r="B29" s="66" t="s">
        <v>954</v>
      </c>
      <c r="C29" s="66"/>
      <c r="D29" s="66"/>
      <c r="E29" s="66"/>
      <c r="F29" s="66"/>
      <c r="G29" s="134">
        <f>G12/G$16</f>
        <v>0.17193932827735645</v>
      </c>
      <c r="H29" s="134">
        <v>0.13550000000000001</v>
      </c>
      <c r="I29" s="134">
        <f t="shared" si="15"/>
        <v>0.13756712234498833</v>
      </c>
      <c r="J29" s="134">
        <f t="shared" ref="J29:O29" si="17">J12/J$16</f>
        <v>0.13779544829146198</v>
      </c>
      <c r="K29" s="134">
        <f t="shared" si="17"/>
        <v>0.13221592411843466</v>
      </c>
      <c r="L29" s="134">
        <f t="shared" si="17"/>
        <v>0.12583637165512113</v>
      </c>
      <c r="M29" s="134">
        <f t="shared" si="17"/>
        <v>0.11512624680145944</v>
      </c>
      <c r="N29" s="134">
        <f t="shared" si="17"/>
        <v>0.1031924114512703</v>
      </c>
      <c r="O29" s="134">
        <f t="shared" si="17"/>
        <v>9.6115885562490372E-2</v>
      </c>
      <c r="P29" s="66"/>
      <c r="Q29" s="66"/>
      <c r="R29" s="66"/>
    </row>
    <row r="30" spans="2:18" x14ac:dyDescent="0.55000000000000004">
      <c r="B30" s="66" t="s">
        <v>956</v>
      </c>
      <c r="C30" s="66"/>
      <c r="D30" s="66"/>
      <c r="E30" s="66"/>
      <c r="F30" s="66"/>
      <c r="G30" s="134"/>
      <c r="H30" s="134">
        <v>0.17</v>
      </c>
      <c r="I30" s="134">
        <f t="shared" si="15"/>
        <v>0.13637501475571659</v>
      </c>
      <c r="J30" s="134">
        <f t="shared" ref="J30:O30" si="18">J13/J$16</f>
        <v>0.1250742712802097</v>
      </c>
      <c r="K30" s="134">
        <f t="shared" si="18"/>
        <v>0.12180921158213169</v>
      </c>
      <c r="L30" s="134">
        <f t="shared" si="18"/>
        <v>0.12337836578222791</v>
      </c>
      <c r="M30" s="134">
        <f t="shared" si="18"/>
        <v>0.12091608696828841</v>
      </c>
      <c r="N30" s="134">
        <f t="shared" si="18"/>
        <v>0.13714378897105034</v>
      </c>
      <c r="O30" s="134">
        <f t="shared" si="18"/>
        <v>0.11716739130189048</v>
      </c>
      <c r="P30" s="66"/>
      <c r="Q30" s="66"/>
      <c r="R30" s="66"/>
    </row>
    <row r="31" spans="2:18" x14ac:dyDescent="0.55000000000000004">
      <c r="B31" s="66" t="s">
        <v>955</v>
      </c>
      <c r="C31" s="66"/>
      <c r="D31" s="66"/>
      <c r="E31" s="66"/>
      <c r="F31" s="66"/>
      <c r="G31" s="66"/>
      <c r="H31" s="134">
        <v>0.05</v>
      </c>
      <c r="I31" s="134">
        <f t="shared" si="15"/>
        <v>4.444050279041388E-2</v>
      </c>
      <c r="J31" s="134">
        <f t="shared" ref="J31:O31" si="19">J14/J$16</f>
        <v>4.4480565166614097E-2</v>
      </c>
      <c r="K31" s="134">
        <f t="shared" si="19"/>
        <v>4.7245476688221696E-2</v>
      </c>
      <c r="L31" s="134">
        <f t="shared" si="19"/>
        <v>5.2068254732374732E-2</v>
      </c>
      <c r="M31" s="134">
        <f t="shared" si="19"/>
        <v>5.6403816467012591E-2</v>
      </c>
      <c r="N31" s="134">
        <f t="shared" si="19"/>
        <v>6.0188259752240604E-2</v>
      </c>
      <c r="O31" s="134">
        <f t="shared" si="19"/>
        <v>6.7095911358350274E-2</v>
      </c>
      <c r="P31" s="66"/>
      <c r="Q31" s="66"/>
      <c r="R31" s="66"/>
    </row>
    <row r="32" spans="2:18" x14ac:dyDescent="0.55000000000000004">
      <c r="B32" s="87" t="s">
        <v>321</v>
      </c>
      <c r="C32" s="87"/>
      <c r="D32" s="87"/>
      <c r="E32" s="87"/>
      <c r="F32" s="87"/>
      <c r="G32" s="87"/>
      <c r="H32" s="210">
        <f>100%-SUM(H26:H31)</f>
        <v>9.6499999999999919E-2</v>
      </c>
      <c r="I32" s="210">
        <f t="shared" si="15"/>
        <v>0.10377005146638407</v>
      </c>
      <c r="J32" s="210">
        <f t="shared" ref="J32:O32" si="20">J15/J$16</f>
        <v>0.1081912483819885</v>
      </c>
      <c r="K32" s="210">
        <f t="shared" si="20"/>
        <v>0.1149164153862287</v>
      </c>
      <c r="L32" s="210">
        <f t="shared" si="20"/>
        <v>0.12664698524998119</v>
      </c>
      <c r="M32" s="210">
        <f t="shared" si="20"/>
        <v>0.1371924860715337</v>
      </c>
      <c r="N32" s="210">
        <f t="shared" si="20"/>
        <v>0.14639748699555455</v>
      </c>
      <c r="O32" s="210">
        <f t="shared" si="20"/>
        <v>0.16319914965099652</v>
      </c>
      <c r="P32" s="66"/>
      <c r="Q32" s="66"/>
      <c r="R32" s="66"/>
    </row>
    <row r="33" spans="2:18" x14ac:dyDescent="0.55000000000000004">
      <c r="B33" s="66" t="s">
        <v>277</v>
      </c>
      <c r="C33" s="66"/>
      <c r="D33" s="66"/>
      <c r="E33" s="66"/>
      <c r="F33" s="66"/>
      <c r="G33" s="66"/>
      <c r="H33" s="134">
        <f>SUM(H26:H32)</f>
        <v>1</v>
      </c>
      <c r="I33" s="134">
        <f t="shared" si="15"/>
        <v>1</v>
      </c>
      <c r="J33" s="134">
        <f t="shared" ref="J33:O33" si="21">J16/J$16</f>
        <v>1</v>
      </c>
      <c r="K33" s="134">
        <f t="shared" si="21"/>
        <v>1</v>
      </c>
      <c r="L33" s="134">
        <f t="shared" si="21"/>
        <v>1</v>
      </c>
      <c r="M33" s="134">
        <f t="shared" si="21"/>
        <v>1</v>
      </c>
      <c r="N33" s="134">
        <f t="shared" si="21"/>
        <v>1</v>
      </c>
      <c r="O33" s="134">
        <f t="shared" si="21"/>
        <v>1</v>
      </c>
      <c r="P33" s="66"/>
      <c r="Q33" s="66"/>
      <c r="R33" s="66"/>
    </row>
    <row r="34" spans="2:18" x14ac:dyDescent="0.55000000000000004">
      <c r="B34" s="66"/>
      <c r="C34" s="66"/>
      <c r="D34" s="66"/>
      <c r="E34" s="66"/>
      <c r="F34" s="66"/>
      <c r="G34" s="66"/>
      <c r="H34" s="66"/>
      <c r="I34" s="66"/>
      <c r="J34" s="66"/>
      <c r="K34" s="66"/>
      <c r="L34" s="66"/>
      <c r="M34" s="66"/>
      <c r="N34" s="66"/>
      <c r="O34" s="66"/>
      <c r="P34" s="66"/>
      <c r="Q34" s="66"/>
      <c r="R34" s="66"/>
    </row>
    <row r="35" spans="2:18" x14ac:dyDescent="0.55000000000000004">
      <c r="B35" s="67" t="s">
        <v>953</v>
      </c>
      <c r="C35" s="66"/>
      <c r="D35" s="66"/>
      <c r="E35" s="66"/>
      <c r="F35" s="66"/>
      <c r="G35" s="66"/>
      <c r="H35" s="66"/>
      <c r="I35" s="66"/>
      <c r="J35" s="66"/>
      <c r="K35" s="66"/>
      <c r="L35" s="66"/>
      <c r="M35" s="66"/>
      <c r="N35" s="66"/>
      <c r="O35" s="66"/>
      <c r="P35" s="66"/>
      <c r="Q35" s="66"/>
      <c r="R35" s="66"/>
    </row>
    <row r="36" spans="2:18" x14ac:dyDescent="0.55000000000000004">
      <c r="B36" s="66" t="s">
        <v>969</v>
      </c>
      <c r="C36" s="66"/>
      <c r="D36" s="66"/>
      <c r="E36" s="66"/>
      <c r="F36" s="66"/>
      <c r="G36" s="140">
        <f>H36/(1+H37)</f>
        <v>443.03797468354429</v>
      </c>
      <c r="H36" s="66">
        <v>700</v>
      </c>
      <c r="I36" s="140">
        <f>I38*AVERAGE(H3,I3)/1000</f>
        <v>959.50155763239866</v>
      </c>
      <c r="J36" s="140">
        <f t="shared" ref="J36:O36" si="22">J38*AVERAGE(I3,J3)/1000</f>
        <v>1177.5700934579438</v>
      </c>
      <c r="K36" s="140">
        <f t="shared" si="22"/>
        <v>1330.2180685358255</v>
      </c>
      <c r="L36" s="140">
        <f t="shared" si="22"/>
        <v>1439.252336448598</v>
      </c>
      <c r="M36" s="140">
        <f t="shared" si="22"/>
        <v>1526.479750778816</v>
      </c>
      <c r="N36" s="140">
        <f t="shared" si="22"/>
        <v>1613.7071651090341</v>
      </c>
      <c r="O36" s="140">
        <f t="shared" si="22"/>
        <v>1700.934579439252</v>
      </c>
      <c r="P36" s="66"/>
      <c r="Q36" s="66"/>
      <c r="R36" s="66"/>
    </row>
    <row r="37" spans="2:18" x14ac:dyDescent="0.55000000000000004">
      <c r="B37" s="66" t="s">
        <v>967</v>
      </c>
      <c r="C37" s="66"/>
      <c r="D37" s="66"/>
      <c r="E37" s="66"/>
      <c r="F37" s="66"/>
      <c r="G37" s="66"/>
      <c r="H37" s="134">
        <v>0.57999999999999996</v>
      </c>
      <c r="I37" s="134">
        <f>I36/H36-1</f>
        <v>0.37071651090342672</v>
      </c>
      <c r="J37" s="134">
        <f t="shared" ref="J37:O37" si="23">J36/I36-1</f>
        <v>0.22727272727272729</v>
      </c>
      <c r="K37" s="134">
        <f t="shared" si="23"/>
        <v>0.12962962962962976</v>
      </c>
      <c r="L37" s="134">
        <f t="shared" si="23"/>
        <v>8.1967213114753967E-2</v>
      </c>
      <c r="M37" s="134">
        <f t="shared" si="23"/>
        <v>6.0606060606060552E-2</v>
      </c>
      <c r="N37" s="134">
        <f t="shared" si="23"/>
        <v>5.7142857142857162E-2</v>
      </c>
      <c r="O37" s="134">
        <f t="shared" si="23"/>
        <v>5.4054054054053946E-2</v>
      </c>
      <c r="P37" s="66"/>
      <c r="Q37" s="66"/>
      <c r="R37" s="66"/>
    </row>
    <row r="38" spans="2:18" x14ac:dyDescent="0.55000000000000004">
      <c r="B38" s="66" t="s">
        <v>968</v>
      </c>
      <c r="C38" s="66"/>
      <c r="D38" s="66"/>
      <c r="E38" s="66"/>
      <c r="F38" s="66"/>
      <c r="G38" s="66"/>
      <c r="H38" s="140">
        <f>H36*1000/AVERAGE(G3,H3)</f>
        <v>21806.853582554515</v>
      </c>
      <c r="I38" s="140">
        <f>I39*12</f>
        <v>21806.853582554515</v>
      </c>
      <c r="J38" s="140">
        <f t="shared" ref="J38:O38" si="24">J39*12</f>
        <v>21806.853582554515</v>
      </c>
      <c r="K38" s="140">
        <f t="shared" si="24"/>
        <v>21806.853582554515</v>
      </c>
      <c r="L38" s="140">
        <f t="shared" si="24"/>
        <v>21806.853582554515</v>
      </c>
      <c r="M38" s="140">
        <f t="shared" si="24"/>
        <v>21806.853582554515</v>
      </c>
      <c r="N38" s="140">
        <f t="shared" si="24"/>
        <v>21806.853582554515</v>
      </c>
      <c r="O38" s="140">
        <f t="shared" si="24"/>
        <v>21806.853582554515</v>
      </c>
      <c r="P38" s="66"/>
      <c r="Q38" s="66"/>
      <c r="R38" s="66"/>
    </row>
    <row r="39" spans="2:18" x14ac:dyDescent="0.55000000000000004">
      <c r="B39" s="66" t="s">
        <v>970</v>
      </c>
      <c r="C39" s="66"/>
      <c r="D39" s="66"/>
      <c r="E39" s="66"/>
      <c r="F39" s="66"/>
      <c r="G39" s="66"/>
      <c r="H39" s="140">
        <f>H38/12</f>
        <v>1817.2377985462097</v>
      </c>
      <c r="I39" s="275">
        <f>H39</f>
        <v>1817.2377985462097</v>
      </c>
      <c r="J39" s="275">
        <f t="shared" ref="J39:O39" si="25">I39</f>
        <v>1817.2377985462097</v>
      </c>
      <c r="K39" s="275">
        <f t="shared" si="25"/>
        <v>1817.2377985462097</v>
      </c>
      <c r="L39" s="275">
        <f t="shared" si="25"/>
        <v>1817.2377985462097</v>
      </c>
      <c r="M39" s="275">
        <f t="shared" si="25"/>
        <v>1817.2377985462097</v>
      </c>
      <c r="N39" s="275">
        <f t="shared" si="25"/>
        <v>1817.2377985462097</v>
      </c>
      <c r="O39" s="275">
        <f t="shared" si="25"/>
        <v>1817.2377985462097</v>
      </c>
      <c r="P39" s="66"/>
      <c r="Q39" s="66"/>
      <c r="R39" s="66"/>
    </row>
    <row r="40" spans="2:18" x14ac:dyDescent="0.55000000000000004">
      <c r="B40" s="66" t="s">
        <v>748</v>
      </c>
      <c r="C40" s="66"/>
      <c r="D40" s="66"/>
      <c r="E40" s="66"/>
      <c r="F40" s="66"/>
      <c r="G40" s="135">
        <f>G41/(AVERAGE(F36,G36)*1000)</f>
        <v>6.9136285714285718E-4</v>
      </c>
      <c r="H40" s="135">
        <f>H41/(AVERAGE(G36,H36)*1000)</f>
        <v>8.5099359911406443E-4</v>
      </c>
      <c r="I40" s="278">
        <f>H40</f>
        <v>8.5099359911406443E-4</v>
      </c>
      <c r="J40" s="278">
        <f t="shared" ref="J40:O40" si="26">I40</f>
        <v>8.5099359911406443E-4</v>
      </c>
      <c r="K40" s="278">
        <f t="shared" si="26"/>
        <v>8.5099359911406443E-4</v>
      </c>
      <c r="L40" s="278">
        <f t="shared" si="26"/>
        <v>8.5099359911406443E-4</v>
      </c>
      <c r="M40" s="278">
        <f t="shared" si="26"/>
        <v>8.5099359911406443E-4</v>
      </c>
      <c r="N40" s="278">
        <f t="shared" si="26"/>
        <v>8.5099359911406443E-4</v>
      </c>
      <c r="O40" s="278">
        <f t="shared" si="26"/>
        <v>8.5099359911406443E-4</v>
      </c>
      <c r="P40" s="66"/>
      <c r="Q40" s="66"/>
      <c r="R40" s="66"/>
    </row>
    <row r="41" spans="2:18" x14ac:dyDescent="0.55000000000000004">
      <c r="B41" s="66" t="s">
        <v>979</v>
      </c>
      <c r="C41" s="66"/>
      <c r="D41" s="66"/>
      <c r="E41" s="66"/>
      <c r="F41" s="66"/>
      <c r="G41" s="140">
        <f>G11</f>
        <v>306.3</v>
      </c>
      <c r="H41" s="140">
        <f>H11</f>
        <v>486.35900000000004</v>
      </c>
      <c r="I41" s="140">
        <f>I40*1000*AVERAGE(H36,I36)</f>
        <v>706.11260163249551</v>
      </c>
      <c r="J41" s="140">
        <f t="shared" ref="J41:O41" si="27">J40*1000*AVERAGE(I36,J36)</f>
        <v>909.31714796300344</v>
      </c>
      <c r="K41" s="140">
        <f t="shared" si="27"/>
        <v>1067.0558368953612</v>
      </c>
      <c r="L41" s="140">
        <f t="shared" si="27"/>
        <v>1178.4007937887902</v>
      </c>
      <c r="M41" s="140">
        <f t="shared" si="27"/>
        <v>1261.9095114588617</v>
      </c>
      <c r="N41" s="140">
        <f t="shared" si="27"/>
        <v>1336.1394827211477</v>
      </c>
      <c r="O41" s="140">
        <f t="shared" si="27"/>
        <v>1410.3694539834337</v>
      </c>
      <c r="P41" s="66"/>
      <c r="Q41" s="66"/>
      <c r="R41" s="66"/>
    </row>
    <row r="42" spans="2:18" x14ac:dyDescent="0.55000000000000004">
      <c r="B42" s="66" t="s">
        <v>393</v>
      </c>
      <c r="C42" s="66"/>
      <c r="D42" s="66"/>
      <c r="E42" s="66"/>
      <c r="F42" s="66"/>
      <c r="G42" s="66"/>
      <c r="H42" s="134">
        <f>H41/G41-1</f>
        <v>0.58785177930133869</v>
      </c>
      <c r="I42" s="134">
        <f>I41/H41-1</f>
        <v>0.45183414233620733</v>
      </c>
      <c r="J42" s="134">
        <f t="shared" ref="J42:O42" si="28">J41/I41-1</f>
        <v>0.28777923784494086</v>
      </c>
      <c r="K42" s="134">
        <f t="shared" si="28"/>
        <v>0.17346938775510212</v>
      </c>
      <c r="L42" s="134">
        <f t="shared" si="28"/>
        <v>0.10434782608695659</v>
      </c>
      <c r="M42" s="134">
        <f t="shared" si="28"/>
        <v>7.0866141732283339E-2</v>
      </c>
      <c r="N42" s="134">
        <f t="shared" si="28"/>
        <v>5.8823529411764719E-2</v>
      </c>
      <c r="O42" s="134">
        <f t="shared" si="28"/>
        <v>5.555555555555558E-2</v>
      </c>
      <c r="P42" s="66"/>
      <c r="Q42" s="66"/>
      <c r="R42" s="66"/>
    </row>
    <row r="43" spans="2:18" x14ac:dyDescent="0.55000000000000004">
      <c r="B43" s="66"/>
      <c r="C43" s="66"/>
      <c r="D43" s="66"/>
      <c r="E43" s="66"/>
      <c r="F43" s="66"/>
      <c r="G43" s="66"/>
      <c r="H43" s="134"/>
      <c r="I43" s="66"/>
      <c r="J43" s="66"/>
      <c r="K43" s="66"/>
      <c r="L43" s="66"/>
      <c r="M43" s="66"/>
      <c r="N43" s="66"/>
      <c r="O43" s="66"/>
      <c r="P43" s="66"/>
      <c r="Q43" s="66"/>
      <c r="R43" s="66"/>
    </row>
    <row r="44" spans="2:18" x14ac:dyDescent="0.55000000000000004">
      <c r="B44" s="67" t="s">
        <v>310</v>
      </c>
      <c r="C44" s="66"/>
      <c r="D44" s="66"/>
      <c r="E44" s="66"/>
      <c r="F44" s="66"/>
      <c r="G44" s="66"/>
      <c r="H44" s="66"/>
      <c r="I44" s="66"/>
      <c r="J44" s="66"/>
      <c r="K44" s="66"/>
      <c r="L44" s="66"/>
      <c r="M44" s="66"/>
      <c r="N44" s="66"/>
      <c r="O44" s="66"/>
      <c r="P44" s="66"/>
      <c r="Q44" s="66"/>
      <c r="R44" s="66"/>
    </row>
    <row r="45" spans="2:18" x14ac:dyDescent="0.55000000000000004">
      <c r="B45" s="66" t="s">
        <v>971</v>
      </c>
      <c r="C45" s="66"/>
      <c r="D45" s="66"/>
      <c r="E45" s="66"/>
      <c r="F45" s="66"/>
      <c r="G45" s="133">
        <f>G47-G46</f>
        <v>10.951648351648352</v>
      </c>
      <c r="H45" s="66">
        <v>15.1</v>
      </c>
      <c r="I45" s="133">
        <f t="shared" ref="I45:O45" si="29">I47-I46</f>
        <v>19.868421052631582</v>
      </c>
      <c r="J45" s="133">
        <f t="shared" si="29"/>
        <v>23.047368421052632</v>
      </c>
      <c r="K45" s="133">
        <f t="shared" si="29"/>
        <v>25.431578947368422</v>
      </c>
      <c r="L45" s="133">
        <f t="shared" si="29"/>
        <v>27.021052631578947</v>
      </c>
      <c r="M45" s="133">
        <f t="shared" si="29"/>
        <v>28.610526315789475</v>
      </c>
      <c r="N45" s="133">
        <f t="shared" si="29"/>
        <v>30.2</v>
      </c>
      <c r="O45" s="133">
        <f t="shared" si="29"/>
        <v>31.789473684210527</v>
      </c>
      <c r="P45" s="66"/>
      <c r="Q45" s="66"/>
      <c r="R45" s="66"/>
    </row>
    <row r="46" spans="2:18" x14ac:dyDescent="0.55000000000000004">
      <c r="B46" s="87" t="s">
        <v>962</v>
      </c>
      <c r="C46" s="87"/>
      <c r="D46" s="87"/>
      <c r="E46" s="87"/>
      <c r="F46" s="87"/>
      <c r="G46" s="274">
        <f>H46/H47*G47</f>
        <v>2.2483516483516479</v>
      </c>
      <c r="H46" s="87">
        <f>H47-H45</f>
        <v>3.0999999999999996</v>
      </c>
      <c r="I46" s="244">
        <f t="shared" ref="I46:O46" si="30">H46/H47*I47</f>
        <v>4.0789473684210522</v>
      </c>
      <c r="J46" s="244">
        <f t="shared" si="30"/>
        <v>4.7315789473684209</v>
      </c>
      <c r="K46" s="244">
        <f t="shared" si="30"/>
        <v>5.2210526315789476</v>
      </c>
      <c r="L46" s="244">
        <f t="shared" si="30"/>
        <v>5.5473684210526315</v>
      </c>
      <c r="M46" s="244">
        <f t="shared" si="30"/>
        <v>5.8736842105263163</v>
      </c>
      <c r="N46" s="244">
        <f t="shared" si="30"/>
        <v>6.2</v>
      </c>
      <c r="O46" s="244">
        <f t="shared" si="30"/>
        <v>6.526315789473685</v>
      </c>
      <c r="P46" s="66"/>
      <c r="Q46" s="66"/>
      <c r="R46" s="66"/>
    </row>
    <row r="47" spans="2:18" x14ac:dyDescent="0.55000000000000004">
      <c r="B47" s="66" t="s">
        <v>949</v>
      </c>
      <c r="C47" s="66"/>
      <c r="D47" s="66"/>
      <c r="E47" s="66"/>
      <c r="F47" s="66"/>
      <c r="G47" s="66">
        <v>13.2</v>
      </c>
      <c r="H47" s="66">
        <v>18.2</v>
      </c>
      <c r="I47" s="133">
        <f t="shared" ref="I47:O47" si="31">I49*I3/1000</f>
        <v>23.947368421052634</v>
      </c>
      <c r="J47" s="133">
        <f t="shared" si="31"/>
        <v>27.778947368421054</v>
      </c>
      <c r="K47" s="133">
        <f t="shared" si="31"/>
        <v>30.652631578947371</v>
      </c>
      <c r="L47" s="133">
        <f t="shared" si="31"/>
        <v>32.568421052631578</v>
      </c>
      <c r="M47" s="133">
        <f t="shared" si="31"/>
        <v>34.484210526315792</v>
      </c>
      <c r="N47" s="133">
        <f t="shared" si="31"/>
        <v>36.4</v>
      </c>
      <c r="O47" s="133">
        <f t="shared" si="31"/>
        <v>38.315789473684212</v>
      </c>
      <c r="P47" s="66"/>
      <c r="Q47" s="66"/>
      <c r="R47" s="66"/>
    </row>
    <row r="48" spans="2:18" x14ac:dyDescent="0.55000000000000004">
      <c r="B48" s="66"/>
      <c r="C48" s="66"/>
      <c r="D48" s="66"/>
      <c r="E48" s="66"/>
      <c r="F48" s="66"/>
      <c r="G48" s="66"/>
      <c r="H48" s="66"/>
      <c r="J48" s="66"/>
      <c r="K48" s="66"/>
      <c r="L48" s="66"/>
      <c r="M48" s="66"/>
      <c r="N48" s="66"/>
      <c r="O48" s="66"/>
      <c r="P48" s="66"/>
      <c r="Q48" s="66"/>
      <c r="R48" s="66"/>
    </row>
    <row r="49" spans="2:18" x14ac:dyDescent="0.55000000000000004">
      <c r="B49" s="66" t="s">
        <v>965</v>
      </c>
      <c r="C49" s="66" t="s">
        <v>989</v>
      </c>
      <c r="D49" s="66"/>
      <c r="E49" s="66"/>
      <c r="F49" s="66"/>
      <c r="G49" s="133">
        <f>G47*1000/G3</f>
        <v>503.81679389312978</v>
      </c>
      <c r="H49" s="133">
        <f>H47*1000/H3</f>
        <v>478.94736842105266</v>
      </c>
      <c r="I49" s="273">
        <f t="shared" ref="I49:O49" si="32">H49</f>
        <v>478.94736842105266</v>
      </c>
      <c r="J49" s="273">
        <f t="shared" si="32"/>
        <v>478.94736842105266</v>
      </c>
      <c r="K49" s="273">
        <f t="shared" si="32"/>
        <v>478.94736842105266</v>
      </c>
      <c r="L49" s="273">
        <f t="shared" si="32"/>
        <v>478.94736842105266</v>
      </c>
      <c r="M49" s="273">
        <f t="shared" si="32"/>
        <v>478.94736842105266</v>
      </c>
      <c r="N49" s="273">
        <f t="shared" si="32"/>
        <v>478.94736842105266</v>
      </c>
      <c r="O49" s="273">
        <f t="shared" si="32"/>
        <v>478.94736842105266</v>
      </c>
      <c r="P49" s="66"/>
      <c r="Q49" s="66"/>
      <c r="R49" s="66"/>
    </row>
    <row r="50" spans="2:18" x14ac:dyDescent="0.55000000000000004">
      <c r="B50" s="66" t="s">
        <v>988</v>
      </c>
      <c r="C50" s="66"/>
      <c r="D50" s="66"/>
      <c r="E50" s="66"/>
      <c r="F50" s="66"/>
      <c r="G50" s="133">
        <f>G57-G56</f>
        <v>73.390999999999991</v>
      </c>
      <c r="H50" s="140">
        <f>H57-H56</f>
        <v>462.84500000000003</v>
      </c>
      <c r="I50" s="140">
        <f t="shared" ref="I50:O50" si="33">I51*1000*AVERAGE(H45,I45)</f>
        <v>621.26429098223275</v>
      </c>
      <c r="J50" s="140">
        <f t="shared" si="33"/>
        <v>643.73684210526324</v>
      </c>
      <c r="K50" s="140">
        <f t="shared" si="33"/>
        <v>605.98684210526312</v>
      </c>
      <c r="L50" s="140">
        <f t="shared" si="33"/>
        <v>524.52631578947364</v>
      </c>
      <c r="M50" s="140">
        <f t="shared" si="33"/>
        <v>556.31578947368428</v>
      </c>
      <c r="N50" s="140">
        <f t="shared" si="33"/>
        <v>588.1052631578948</v>
      </c>
      <c r="O50" s="140">
        <f t="shared" si="33"/>
        <v>619.8947368421052</v>
      </c>
      <c r="P50" s="66"/>
      <c r="Q50" s="66"/>
      <c r="R50" s="66"/>
    </row>
    <row r="51" spans="2:18" x14ac:dyDescent="0.55000000000000004">
      <c r="B51" s="66" t="s">
        <v>957</v>
      </c>
      <c r="C51" s="66"/>
      <c r="D51" s="66"/>
      <c r="E51" s="66"/>
      <c r="F51" s="66"/>
      <c r="G51" s="171">
        <f>G50/(AVERAGE(F45,G45)*1000)</f>
        <v>6.7013656431868344E-3</v>
      </c>
      <c r="H51" s="171">
        <f>H50/(AVERAGE(G45,H45)*1000)</f>
        <v>3.5532876365630406E-2</v>
      </c>
      <c r="I51" s="276">
        <f>H51</f>
        <v>3.5532876365630406E-2</v>
      </c>
      <c r="J51" s="276">
        <v>0.03</v>
      </c>
      <c r="K51" s="276">
        <v>2.5000000000000001E-2</v>
      </c>
      <c r="L51" s="276">
        <v>0.02</v>
      </c>
      <c r="M51" s="276">
        <v>0.02</v>
      </c>
      <c r="N51" s="276">
        <v>0.02</v>
      </c>
      <c r="O51" s="276">
        <v>0.02</v>
      </c>
      <c r="P51" s="66"/>
      <c r="Q51" s="66"/>
      <c r="R51" s="66"/>
    </row>
    <row r="52" spans="2:18" x14ac:dyDescent="0.55000000000000004">
      <c r="B52" s="66"/>
      <c r="C52" s="66"/>
      <c r="D52" s="66"/>
      <c r="E52" s="66"/>
      <c r="F52" s="66"/>
      <c r="G52" s="66"/>
      <c r="H52" s="66"/>
      <c r="I52" s="66"/>
      <c r="J52" s="66"/>
      <c r="K52" s="66"/>
      <c r="L52" s="66"/>
      <c r="M52" s="66"/>
      <c r="N52" s="66"/>
      <c r="O52" s="66"/>
      <c r="P52" s="66"/>
      <c r="Q52" s="66"/>
      <c r="R52" s="66"/>
    </row>
    <row r="53" spans="2:18" x14ac:dyDescent="0.55000000000000004">
      <c r="B53" s="66" t="s">
        <v>963</v>
      </c>
      <c r="C53" s="66"/>
      <c r="D53" s="66"/>
      <c r="E53" s="66"/>
      <c r="F53" s="66"/>
      <c r="G53" s="66">
        <v>204</v>
      </c>
      <c r="H53" s="66">
        <v>528</v>
      </c>
      <c r="I53" s="275">
        <v>1000</v>
      </c>
      <c r="J53" s="275">
        <v>2000</v>
      </c>
      <c r="K53" s="275">
        <f>J53+1000</f>
        <v>3000</v>
      </c>
      <c r="L53" s="275">
        <f>K53+1000</f>
        <v>4000</v>
      </c>
      <c r="M53" s="275">
        <f>L53+1000</f>
        <v>5000</v>
      </c>
      <c r="N53" s="275">
        <f>M53+1000</f>
        <v>6000</v>
      </c>
      <c r="O53" s="275">
        <f>N53+1000</f>
        <v>7000</v>
      </c>
      <c r="P53" s="66"/>
      <c r="Q53" s="66"/>
      <c r="R53" s="66"/>
    </row>
    <row r="54" spans="2:18" x14ac:dyDescent="0.55000000000000004">
      <c r="B54" s="66" t="s">
        <v>1009</v>
      </c>
      <c r="C54" s="66"/>
      <c r="D54" s="66"/>
      <c r="E54" s="66"/>
      <c r="F54" s="66"/>
      <c r="G54" s="66"/>
      <c r="H54" s="134">
        <f>H53/G53-1</f>
        <v>1.5882352941176472</v>
      </c>
      <c r="I54" s="134">
        <f>I53/H53-1</f>
        <v>0.89393939393939403</v>
      </c>
      <c r="J54" s="134">
        <f t="shared" ref="J54:O54" si="34">J53/I53-1</f>
        <v>1</v>
      </c>
      <c r="K54" s="134">
        <f t="shared" si="34"/>
        <v>0.5</v>
      </c>
      <c r="L54" s="134">
        <f t="shared" si="34"/>
        <v>0.33333333333333326</v>
      </c>
      <c r="M54" s="134">
        <f t="shared" si="34"/>
        <v>0.25</v>
      </c>
      <c r="N54" s="134">
        <f t="shared" si="34"/>
        <v>0.19999999999999996</v>
      </c>
      <c r="O54" s="134">
        <f t="shared" si="34"/>
        <v>0.16666666666666674</v>
      </c>
      <c r="P54" s="66"/>
      <c r="Q54" s="66"/>
      <c r="R54" s="66"/>
    </row>
    <row r="55" spans="2:18" x14ac:dyDescent="0.55000000000000004">
      <c r="B55" s="66" t="s">
        <v>966</v>
      </c>
      <c r="C55" s="66"/>
      <c r="D55" s="66"/>
      <c r="E55" s="66"/>
      <c r="F55" s="66"/>
      <c r="G55" s="66"/>
      <c r="H55" s="171">
        <f>H56/AVERAGE(G53,H53)</f>
        <v>9.8633879781420769E-2</v>
      </c>
      <c r="I55" s="171">
        <f t="shared" ref="I55:O55" si="35">H55</f>
        <v>9.8633879781420769E-2</v>
      </c>
      <c r="J55" s="276">
        <f t="shared" si="35"/>
        <v>9.8633879781420769E-2</v>
      </c>
      <c r="K55" s="276">
        <f t="shared" si="35"/>
        <v>9.8633879781420769E-2</v>
      </c>
      <c r="L55" s="276">
        <f t="shared" si="35"/>
        <v>9.8633879781420769E-2</v>
      </c>
      <c r="M55" s="276">
        <f t="shared" si="35"/>
        <v>9.8633879781420769E-2</v>
      </c>
      <c r="N55" s="276">
        <f t="shared" si="35"/>
        <v>9.8633879781420769E-2</v>
      </c>
      <c r="O55" s="276">
        <f t="shared" si="35"/>
        <v>9.8633879781420769E-2</v>
      </c>
      <c r="P55" s="66"/>
      <c r="Q55" s="66"/>
      <c r="R55" s="66"/>
    </row>
    <row r="56" spans="2:18" x14ac:dyDescent="0.55000000000000004">
      <c r="B56" s="87" t="s">
        <v>981</v>
      </c>
      <c r="C56" s="87"/>
      <c r="D56" s="87"/>
      <c r="E56" s="87"/>
      <c r="F56" s="87"/>
      <c r="G56" s="87">
        <v>7.7</v>
      </c>
      <c r="H56" s="87">
        <v>36.1</v>
      </c>
      <c r="I56" s="244">
        <f>I55*AVERAGE(H53,I53)</f>
        <v>75.356284153005461</v>
      </c>
      <c r="J56" s="244">
        <f t="shared" ref="J56:O56" si="36">J55*AVERAGE(I53,J53)</f>
        <v>147.95081967213116</v>
      </c>
      <c r="K56" s="244">
        <f t="shared" si="36"/>
        <v>246.58469945355193</v>
      </c>
      <c r="L56" s="244">
        <f t="shared" si="36"/>
        <v>345.21857923497271</v>
      </c>
      <c r="M56" s="244">
        <f t="shared" si="36"/>
        <v>443.85245901639348</v>
      </c>
      <c r="N56" s="244">
        <f t="shared" si="36"/>
        <v>542.48633879781426</v>
      </c>
      <c r="O56" s="244">
        <f t="shared" si="36"/>
        <v>641.12021857923503</v>
      </c>
      <c r="P56" s="66"/>
      <c r="Q56" s="66"/>
      <c r="R56" s="66"/>
    </row>
    <row r="57" spans="2:18" x14ac:dyDescent="0.55000000000000004">
      <c r="B57" s="66" t="s">
        <v>964</v>
      </c>
      <c r="C57" s="66"/>
      <c r="D57" s="66"/>
      <c r="E57" s="66"/>
      <c r="F57" s="66"/>
      <c r="G57" s="140">
        <f>G9</f>
        <v>81.090999999999994</v>
      </c>
      <c r="H57" s="140">
        <f>H9</f>
        <v>498.94500000000005</v>
      </c>
      <c r="I57" s="140">
        <f>I50+I56</f>
        <v>696.62057513523825</v>
      </c>
      <c r="J57" s="140">
        <f t="shared" ref="J57:O57" si="37">J50+J56</f>
        <v>791.6876617773944</v>
      </c>
      <c r="K57" s="140">
        <f t="shared" si="37"/>
        <v>852.57154155881506</v>
      </c>
      <c r="L57" s="140">
        <f t="shared" si="37"/>
        <v>869.74489502444635</v>
      </c>
      <c r="M57" s="140">
        <f t="shared" si="37"/>
        <v>1000.1682484900778</v>
      </c>
      <c r="N57" s="140">
        <f t="shared" si="37"/>
        <v>1130.5916019557089</v>
      </c>
      <c r="O57" s="140">
        <f t="shared" si="37"/>
        <v>1261.0149554213403</v>
      </c>
      <c r="P57" s="66"/>
      <c r="Q57" s="66"/>
      <c r="R57" s="66"/>
    </row>
    <row r="58" spans="2:18" x14ac:dyDescent="0.55000000000000004">
      <c r="B58" s="66"/>
      <c r="C58" s="66"/>
      <c r="D58" s="66"/>
      <c r="E58" s="66"/>
      <c r="F58" s="66"/>
      <c r="G58" s="66"/>
      <c r="H58" s="66"/>
      <c r="I58" s="66"/>
      <c r="J58" s="66"/>
      <c r="K58" s="66"/>
      <c r="L58" s="66"/>
      <c r="M58" s="66"/>
      <c r="N58" s="66"/>
      <c r="O58" s="66"/>
      <c r="P58" s="66"/>
      <c r="Q58" s="66"/>
      <c r="R58" s="66"/>
    </row>
    <row r="59" spans="2:18" x14ac:dyDescent="0.55000000000000004">
      <c r="B59" s="67" t="s">
        <v>956</v>
      </c>
      <c r="C59" s="66"/>
      <c r="D59" s="66"/>
      <c r="E59" s="66"/>
      <c r="F59" s="66"/>
      <c r="G59" s="66"/>
      <c r="H59" s="66"/>
      <c r="I59" s="66"/>
      <c r="J59" s="66"/>
      <c r="K59" s="66"/>
      <c r="L59" s="66"/>
      <c r="M59" s="66"/>
      <c r="N59" s="66"/>
      <c r="O59" s="66"/>
      <c r="P59" s="66"/>
      <c r="Q59" s="66"/>
      <c r="R59" s="66"/>
    </row>
    <row r="60" spans="2:18" x14ac:dyDescent="0.55000000000000004">
      <c r="B60" s="66" t="s">
        <v>995</v>
      </c>
      <c r="C60" s="66"/>
      <c r="D60" s="66"/>
      <c r="E60" s="66"/>
      <c r="F60" s="66"/>
      <c r="G60" s="278">
        <v>6.3E-3</v>
      </c>
      <c r="H60" s="278">
        <v>6.7000000000000002E-3</v>
      </c>
      <c r="I60" s="278">
        <v>6.4000000000000003E-3</v>
      </c>
      <c r="J60" s="278">
        <f>N60-0.02%</f>
        <v>6.000000000000001E-3</v>
      </c>
      <c r="K60" s="278">
        <f>J60-0.02%</f>
        <v>5.8000000000000013E-3</v>
      </c>
      <c r="L60" s="278">
        <f>K60-0.02%</f>
        <v>5.6000000000000017E-3</v>
      </c>
      <c r="M60" s="278">
        <f>L60-0.02%</f>
        <v>5.400000000000002E-3</v>
      </c>
      <c r="N60" s="278">
        <f>I60-0.02%</f>
        <v>6.2000000000000006E-3</v>
      </c>
      <c r="O60" s="278">
        <f>M60-0.02%</f>
        <v>5.2000000000000024E-3</v>
      </c>
    </row>
    <row r="61" spans="2:18" x14ac:dyDescent="0.55000000000000004">
      <c r="B61" s="66" t="s">
        <v>996</v>
      </c>
      <c r="C61" s="66"/>
      <c r="D61" s="66"/>
      <c r="E61" s="66"/>
      <c r="F61" s="66"/>
      <c r="G61" s="278"/>
      <c r="H61" s="133">
        <f>H65/H60/1000</f>
        <v>45.620895522388061</v>
      </c>
      <c r="I61" s="133">
        <f t="shared" ref="I61:O61" si="38">I63*I62</f>
        <v>51.726942724237325</v>
      </c>
      <c r="J61" s="133">
        <f t="shared" si="38"/>
        <v>60.669248851345564</v>
      </c>
      <c r="K61" s="133">
        <f t="shared" si="38"/>
        <v>69.055032390628114</v>
      </c>
      <c r="L61" s="133">
        <f t="shared" si="38"/>
        <v>78.879226192174883</v>
      </c>
      <c r="M61" s="133">
        <f t="shared" si="38"/>
        <v>88.807113759595907</v>
      </c>
      <c r="N61" s="133">
        <f t="shared" si="38"/>
        <v>98.655166940583896</v>
      </c>
      <c r="O61" s="133">
        <f t="shared" si="38"/>
        <v>108.17720960396251</v>
      </c>
    </row>
    <row r="62" spans="2:18" x14ac:dyDescent="0.55000000000000004">
      <c r="B62" s="66" t="s">
        <v>997</v>
      </c>
      <c r="C62" s="66"/>
      <c r="D62" s="66"/>
      <c r="E62" s="66"/>
      <c r="F62" s="66"/>
      <c r="G62" s="221">
        <v>76.400000000000006</v>
      </c>
      <c r="H62" s="221">
        <v>104.60000000000001</v>
      </c>
      <c r="I62" s="221">
        <v>118.60000000000001</v>
      </c>
      <c r="J62" s="221">
        <v>139.10300000000001</v>
      </c>
      <c r="K62" s="221">
        <v>158.32999999999998</v>
      </c>
      <c r="L62" s="221">
        <v>180.85500000000002</v>
      </c>
      <c r="M62" s="221">
        <v>203.61775000000003</v>
      </c>
      <c r="N62" s="221">
        <v>226.19745500000005</v>
      </c>
      <c r="O62" s="221">
        <v>248.02968015000005</v>
      </c>
    </row>
    <row r="63" spans="2:18" x14ac:dyDescent="0.55000000000000004">
      <c r="B63" s="66" t="s">
        <v>998</v>
      </c>
      <c r="C63" s="66"/>
      <c r="D63" s="66"/>
      <c r="E63" s="66"/>
      <c r="F63" s="66"/>
      <c r="G63" s="134"/>
      <c r="H63" s="134">
        <f>H61/H62</f>
        <v>0.43614622870351871</v>
      </c>
      <c r="I63" s="270">
        <f>H63</f>
        <v>0.43614622870351871</v>
      </c>
      <c r="J63" s="270">
        <f>N63</f>
        <v>0.43614622870351871</v>
      </c>
      <c r="K63" s="270">
        <f>J63</f>
        <v>0.43614622870351871</v>
      </c>
      <c r="L63" s="270">
        <f>K63</f>
        <v>0.43614622870351871</v>
      </c>
      <c r="M63" s="270">
        <f>L63</f>
        <v>0.43614622870351871</v>
      </c>
      <c r="N63" s="270">
        <f>I63</f>
        <v>0.43614622870351871</v>
      </c>
      <c r="O63" s="270">
        <f>M63</f>
        <v>0.43614622870351871</v>
      </c>
    </row>
    <row r="64" spans="2:18" x14ac:dyDescent="0.55000000000000004">
      <c r="B64" s="66"/>
      <c r="C64" s="66"/>
      <c r="D64" s="66"/>
      <c r="E64" s="66"/>
      <c r="F64" s="66"/>
      <c r="G64" s="66"/>
      <c r="H64" s="66"/>
      <c r="I64" s="66"/>
      <c r="J64" s="66"/>
      <c r="K64" s="66"/>
      <c r="L64" s="66"/>
      <c r="M64" s="66"/>
      <c r="N64" s="66"/>
      <c r="O64" s="66"/>
    </row>
    <row r="65" spans="2:15" x14ac:dyDescent="0.55000000000000004">
      <c r="B65" s="66" t="s">
        <v>90</v>
      </c>
      <c r="C65" s="66"/>
      <c r="D65" s="66"/>
      <c r="E65" s="66"/>
      <c r="F65" s="66"/>
      <c r="G65" s="140"/>
      <c r="H65" s="140">
        <f>H13</f>
        <v>305.66000000000003</v>
      </c>
      <c r="I65" s="140">
        <f t="shared" ref="I65:O65" si="39">I60*I61*1000</f>
        <v>331.05243343511893</v>
      </c>
      <c r="J65" s="140">
        <f t="shared" si="39"/>
        <v>364.01549310807349</v>
      </c>
      <c r="K65" s="140">
        <f t="shared" si="39"/>
        <v>400.51918786564318</v>
      </c>
      <c r="L65" s="140">
        <f t="shared" si="39"/>
        <v>441.72366667617945</v>
      </c>
      <c r="M65" s="140">
        <f t="shared" si="39"/>
        <v>479.55841430181806</v>
      </c>
      <c r="N65" s="140">
        <f t="shared" si="39"/>
        <v>611.66203503162023</v>
      </c>
      <c r="O65" s="140">
        <f t="shared" si="39"/>
        <v>562.52148994060531</v>
      </c>
    </row>
    <row r="66" spans="2:15" x14ac:dyDescent="0.55000000000000004">
      <c r="B66" s="66"/>
      <c r="C66" s="66"/>
      <c r="D66" s="66"/>
      <c r="E66" s="66"/>
      <c r="F66" s="66"/>
      <c r="G66" s="66"/>
      <c r="H66" s="66"/>
      <c r="I66" s="66"/>
      <c r="J66" s="66"/>
      <c r="K66" s="66"/>
      <c r="L66" s="66"/>
      <c r="M66" s="66"/>
      <c r="N66" s="66"/>
      <c r="O66" s="66"/>
    </row>
    <row r="67" spans="2:15" x14ac:dyDescent="0.55000000000000004">
      <c r="B67" s="67" t="s">
        <v>954</v>
      </c>
      <c r="C67" s="66"/>
      <c r="D67" s="66"/>
      <c r="E67" s="66"/>
      <c r="F67" s="66"/>
      <c r="G67" s="66"/>
      <c r="H67" s="66"/>
      <c r="I67" s="66"/>
      <c r="J67" s="66"/>
      <c r="K67" s="66"/>
      <c r="L67" s="66"/>
      <c r="M67" s="66"/>
      <c r="N67" s="66"/>
      <c r="O67" s="66"/>
    </row>
    <row r="68" spans="2:15" x14ac:dyDescent="0.55000000000000004">
      <c r="B68" s="66" t="s">
        <v>990</v>
      </c>
      <c r="C68" s="66"/>
      <c r="D68" s="66"/>
      <c r="E68" s="66"/>
      <c r="F68" s="66"/>
      <c r="G68" s="134">
        <v>0.5</v>
      </c>
      <c r="H68" s="134">
        <v>0.5</v>
      </c>
      <c r="I68" s="270">
        <v>0.5</v>
      </c>
      <c r="J68" s="270">
        <f t="shared" ref="J68:O68" si="40">I68-2%</f>
        <v>0.48</v>
      </c>
      <c r="K68" s="270">
        <f t="shared" si="40"/>
        <v>0.45999999999999996</v>
      </c>
      <c r="L68" s="270">
        <f t="shared" si="40"/>
        <v>0.43999999999999995</v>
      </c>
      <c r="M68" s="270">
        <f t="shared" si="40"/>
        <v>0.41999999999999993</v>
      </c>
      <c r="N68" s="270">
        <f t="shared" si="40"/>
        <v>0.39999999999999991</v>
      </c>
      <c r="O68" s="270">
        <f t="shared" si="40"/>
        <v>0.37999999999999989</v>
      </c>
    </row>
    <row r="69" spans="2:15" x14ac:dyDescent="0.55000000000000004">
      <c r="B69" s="66" t="s">
        <v>993</v>
      </c>
      <c r="C69" s="66"/>
      <c r="D69" s="66"/>
      <c r="E69" s="66"/>
      <c r="F69" s="66"/>
      <c r="G69" s="66">
        <f>G68*G3</f>
        <v>13.1</v>
      </c>
      <c r="H69" s="133">
        <f>H68*H3</f>
        <v>19</v>
      </c>
      <c r="I69" s="133">
        <f>I68*I3</f>
        <v>25</v>
      </c>
      <c r="J69" s="133">
        <f t="shared" ref="J69:O69" si="41">J68*J3</f>
        <v>27.84</v>
      </c>
      <c r="K69" s="133">
        <f t="shared" si="41"/>
        <v>29.439999999999998</v>
      </c>
      <c r="L69" s="133">
        <f t="shared" si="41"/>
        <v>29.919999999999995</v>
      </c>
      <c r="M69" s="133">
        <f t="shared" si="41"/>
        <v>30.239999999999995</v>
      </c>
      <c r="N69" s="133">
        <f t="shared" si="41"/>
        <v>30.399999999999991</v>
      </c>
      <c r="O69" s="133">
        <f t="shared" si="41"/>
        <v>30.399999999999991</v>
      </c>
    </row>
    <row r="70" spans="2:15" x14ac:dyDescent="0.55000000000000004">
      <c r="B70" s="66"/>
      <c r="C70" s="66"/>
      <c r="D70" s="66"/>
      <c r="E70" s="66"/>
      <c r="F70" s="66"/>
      <c r="G70" s="66"/>
      <c r="H70" s="66"/>
      <c r="I70" s="66"/>
      <c r="J70" s="66"/>
      <c r="K70" s="66"/>
      <c r="L70" s="66"/>
      <c r="M70" s="66"/>
      <c r="N70" s="66"/>
      <c r="O70" s="66"/>
    </row>
    <row r="71" spans="2:15" x14ac:dyDescent="0.55000000000000004">
      <c r="B71" s="66" t="s">
        <v>991</v>
      </c>
      <c r="C71" s="66"/>
      <c r="D71" s="66"/>
      <c r="E71" s="66"/>
      <c r="F71" s="66"/>
      <c r="G71" s="140"/>
      <c r="H71" s="140">
        <f>H73/AVERAGE(G69,H69)</f>
        <v>15.179376947040499</v>
      </c>
      <c r="I71" s="140">
        <f>I72*12</f>
        <v>15.179376947040499</v>
      </c>
      <c r="J71" s="140">
        <f t="shared" ref="J71:O71" si="42">J72*12</f>
        <v>15.179376947040499</v>
      </c>
      <c r="K71" s="140">
        <f t="shared" si="42"/>
        <v>15.179376947040499</v>
      </c>
      <c r="L71" s="140">
        <f t="shared" si="42"/>
        <v>15.179376947040499</v>
      </c>
      <c r="M71" s="140">
        <f t="shared" si="42"/>
        <v>15.179376947040499</v>
      </c>
      <c r="N71" s="140">
        <f t="shared" si="42"/>
        <v>15.179376947040499</v>
      </c>
      <c r="O71" s="140">
        <f t="shared" si="42"/>
        <v>15.179376947040499</v>
      </c>
    </row>
    <row r="72" spans="2:15" x14ac:dyDescent="0.55000000000000004">
      <c r="B72" s="66" t="s">
        <v>994</v>
      </c>
      <c r="C72" s="66"/>
      <c r="D72" s="66"/>
      <c r="E72" s="66"/>
      <c r="F72" s="66"/>
      <c r="G72" s="133"/>
      <c r="H72" s="133">
        <f>H71/12</f>
        <v>1.2649480789200416</v>
      </c>
      <c r="I72" s="273">
        <f>H72</f>
        <v>1.2649480789200416</v>
      </c>
      <c r="J72" s="273">
        <f t="shared" ref="J72:O72" si="43">I72</f>
        <v>1.2649480789200416</v>
      </c>
      <c r="K72" s="273">
        <f t="shared" si="43"/>
        <v>1.2649480789200416</v>
      </c>
      <c r="L72" s="273">
        <f t="shared" si="43"/>
        <v>1.2649480789200416</v>
      </c>
      <c r="M72" s="273">
        <f t="shared" si="43"/>
        <v>1.2649480789200416</v>
      </c>
      <c r="N72" s="273">
        <f t="shared" si="43"/>
        <v>1.2649480789200416</v>
      </c>
      <c r="O72" s="273">
        <f t="shared" si="43"/>
        <v>1.2649480789200416</v>
      </c>
    </row>
    <row r="73" spans="2:15" x14ac:dyDescent="0.55000000000000004">
      <c r="B73" s="66" t="s">
        <v>277</v>
      </c>
      <c r="C73" s="66"/>
      <c r="D73" s="66"/>
      <c r="E73" s="66"/>
      <c r="F73" s="66"/>
      <c r="G73" s="140">
        <f>G12</f>
        <v>158.69999999999999</v>
      </c>
      <c r="H73" s="140">
        <f>H12</f>
        <v>243.62900000000002</v>
      </c>
      <c r="I73" s="140">
        <f>I71*AVERAGE(H69,I69)</f>
        <v>333.94629283489098</v>
      </c>
      <c r="J73" s="140">
        <f t="shared" ref="J73:O73" si="44">J71*AVERAGE(I69,J69)</f>
        <v>401.03913894081001</v>
      </c>
      <c r="K73" s="140">
        <f t="shared" si="44"/>
        <v>434.73735576323992</v>
      </c>
      <c r="L73" s="140">
        <f t="shared" si="44"/>
        <v>450.52390778816192</v>
      </c>
      <c r="M73" s="140">
        <f t="shared" si="44"/>
        <v>456.5956585669781</v>
      </c>
      <c r="N73" s="140">
        <f t="shared" si="44"/>
        <v>460.2387090342678</v>
      </c>
      <c r="O73" s="140">
        <f t="shared" si="44"/>
        <v>461.45305919003101</v>
      </c>
    </row>
    <row r="74" spans="2:15" x14ac:dyDescent="0.55000000000000004">
      <c r="B74" s="66"/>
      <c r="C74" s="66"/>
      <c r="D74" s="66"/>
      <c r="E74" s="66"/>
      <c r="F74" s="66"/>
      <c r="G74" s="66"/>
      <c r="H74" s="66"/>
      <c r="I74" s="66"/>
      <c r="J74" s="66"/>
      <c r="K74" s="66"/>
      <c r="L74" s="66"/>
      <c r="M74" s="66"/>
      <c r="N74" s="66"/>
      <c r="O74" s="66"/>
    </row>
    <row r="75" spans="2:15" x14ac:dyDescent="0.55000000000000004">
      <c r="B75" s="67" t="s">
        <v>321</v>
      </c>
      <c r="C75" s="66"/>
      <c r="D75" s="66"/>
      <c r="E75" s="66"/>
      <c r="F75" s="66"/>
      <c r="G75" s="66"/>
      <c r="H75" s="66"/>
      <c r="I75" s="66"/>
      <c r="J75" s="66"/>
      <c r="K75" s="66"/>
      <c r="L75" s="66"/>
      <c r="M75" s="66"/>
      <c r="N75" s="66"/>
      <c r="O75" s="66"/>
    </row>
    <row r="76" spans="2:15" x14ac:dyDescent="0.55000000000000004">
      <c r="B76" s="66" t="s">
        <v>992</v>
      </c>
      <c r="C76" s="66"/>
      <c r="D76" s="66"/>
      <c r="E76" s="66"/>
      <c r="F76" s="66"/>
      <c r="G76" s="66"/>
      <c r="H76" s="66"/>
      <c r="I76" s="66"/>
      <c r="J76" s="66"/>
      <c r="K76" s="66"/>
      <c r="L76" s="66"/>
      <c r="M76" s="66"/>
      <c r="N76" s="66"/>
      <c r="O76" s="66"/>
    </row>
    <row r="77" spans="2:15" x14ac:dyDescent="0.55000000000000004">
      <c r="B77" s="66" t="s">
        <v>277</v>
      </c>
      <c r="C77" s="66"/>
      <c r="D77" s="66"/>
      <c r="E77" s="66"/>
      <c r="F77" s="66"/>
      <c r="G77" s="66"/>
      <c r="H77" s="140">
        <f>H15</f>
        <v>173.50699999999986</v>
      </c>
      <c r="I77" s="140">
        <f t="shared" ref="I77:O77" si="45">(1+I78)*H77</f>
        <v>251.90338653432812</v>
      </c>
      <c r="J77" s="140">
        <f t="shared" si="45"/>
        <v>314.87923316791017</v>
      </c>
      <c r="K77" s="140">
        <f t="shared" si="45"/>
        <v>377.8550798014922</v>
      </c>
      <c r="L77" s="140">
        <f t="shared" si="45"/>
        <v>453.42609576179063</v>
      </c>
      <c r="M77" s="140">
        <f t="shared" si="45"/>
        <v>544.11131491414869</v>
      </c>
      <c r="N77" s="140">
        <f t="shared" si="45"/>
        <v>652.93357789697836</v>
      </c>
      <c r="O77" s="140">
        <f t="shared" si="45"/>
        <v>783.52029347637404</v>
      </c>
    </row>
    <row r="78" spans="2:15" x14ac:dyDescent="0.55000000000000004">
      <c r="B78" s="66" t="s">
        <v>393</v>
      </c>
      <c r="C78" s="66"/>
      <c r="D78" s="66"/>
      <c r="E78" s="66"/>
      <c r="F78" s="66"/>
      <c r="G78" s="66"/>
      <c r="H78" s="140"/>
      <c r="I78" s="134">
        <f>I42</f>
        <v>0.45183414233620733</v>
      </c>
      <c r="J78" s="270">
        <v>0.25</v>
      </c>
      <c r="K78" s="270">
        <v>0.2</v>
      </c>
      <c r="L78" s="270">
        <v>0.2</v>
      </c>
      <c r="M78" s="270">
        <v>0.2</v>
      </c>
      <c r="N78" s="270">
        <v>0.2</v>
      </c>
      <c r="O78" s="270">
        <v>0.2</v>
      </c>
    </row>
    <row r="79" spans="2:15" x14ac:dyDescent="0.55000000000000004">
      <c r="B79" s="66"/>
      <c r="C79" s="66"/>
      <c r="D79" s="66"/>
      <c r="E79" s="66"/>
      <c r="F79" s="66"/>
      <c r="G79" s="66"/>
      <c r="H79" s="66"/>
      <c r="I79" s="66"/>
      <c r="J79" s="66"/>
      <c r="K79" s="66"/>
      <c r="L79" s="66"/>
      <c r="M79" s="66"/>
      <c r="N79" s="66"/>
      <c r="O79" s="66"/>
    </row>
    <row r="80" spans="2:15" x14ac:dyDescent="0.55000000000000004">
      <c r="B80" s="67" t="s">
        <v>959</v>
      </c>
      <c r="J80" s="66"/>
      <c r="K80" s="66"/>
      <c r="L80" s="66"/>
      <c r="M80" s="66"/>
      <c r="O80" s="66"/>
    </row>
    <row r="81" spans="2:15" x14ac:dyDescent="0.55000000000000004">
      <c r="B81" s="66" t="s">
        <v>972</v>
      </c>
      <c r="C81" s="66"/>
      <c r="D81" s="66"/>
      <c r="E81" s="66"/>
      <c r="F81" s="66"/>
      <c r="G81" s="140">
        <v>15.5</v>
      </c>
      <c r="H81" s="140">
        <v>3</v>
      </c>
      <c r="I81" s="133">
        <f t="shared" ref="I81:O81" si="46">I82*AVERAGE(H45,I45)*1000</f>
        <v>87.421052631578959</v>
      </c>
      <c r="J81" s="133">
        <f t="shared" si="46"/>
        <v>160.93421052631578</v>
      </c>
      <c r="K81" s="133">
        <f t="shared" si="46"/>
        <v>242.39473684210526</v>
      </c>
      <c r="L81" s="133">
        <f t="shared" si="46"/>
        <v>393.39473684210526</v>
      </c>
      <c r="M81" s="133">
        <f t="shared" si="46"/>
        <v>417.23684210526318</v>
      </c>
      <c r="N81" s="133">
        <f t="shared" si="46"/>
        <v>441.07894736842104</v>
      </c>
      <c r="O81" s="133">
        <f t="shared" si="46"/>
        <v>464.9210526315789</v>
      </c>
    </row>
    <row r="82" spans="2:15" x14ac:dyDescent="0.55000000000000004">
      <c r="B82" s="66" t="s">
        <v>544</v>
      </c>
      <c r="C82" s="66"/>
      <c r="D82" s="66"/>
      <c r="E82" s="66"/>
      <c r="F82" s="66"/>
      <c r="G82" s="171"/>
      <c r="H82" s="135">
        <f>H81/(AVERAGE(G45,H45)*1000)</f>
        <v>2.3031172227612096E-4</v>
      </c>
      <c r="I82" s="276">
        <v>5.0000000000000001E-3</v>
      </c>
      <c r="J82" s="276">
        <v>7.4999999999999997E-3</v>
      </c>
      <c r="K82" s="276">
        <v>0.01</v>
      </c>
      <c r="L82" s="276">
        <v>1.4999999999999999E-2</v>
      </c>
      <c r="M82" s="276">
        <v>1.4999999999999999E-2</v>
      </c>
      <c r="N82" s="276">
        <v>1.4999999999999999E-2</v>
      </c>
      <c r="O82" s="276">
        <v>1.4999999999999999E-2</v>
      </c>
    </row>
    <row r="83" spans="2:15" x14ac:dyDescent="0.55000000000000004">
      <c r="B83" s="66"/>
      <c r="C83" s="66"/>
      <c r="D83" s="66"/>
      <c r="E83" s="66"/>
      <c r="F83" s="66"/>
      <c r="G83" s="66"/>
      <c r="H83" s="66"/>
      <c r="I83" s="66"/>
      <c r="J83" s="66"/>
      <c r="K83" s="66"/>
      <c r="L83" s="66"/>
      <c r="M83" s="66"/>
      <c r="N83" s="66"/>
      <c r="O83" s="66"/>
    </row>
    <row r="84" spans="2:15" x14ac:dyDescent="0.55000000000000004">
      <c r="B84" s="66" t="s">
        <v>974</v>
      </c>
      <c r="C84" s="66"/>
      <c r="D84" s="66"/>
      <c r="E84" s="66"/>
      <c r="F84" s="66"/>
      <c r="G84" s="140">
        <f>G86-G81</f>
        <v>0.56500000000000128</v>
      </c>
      <c r="H84" s="140">
        <f>H86-H81</f>
        <v>39.792999999999999</v>
      </c>
      <c r="I84" s="140">
        <f t="shared" ref="I84:O84" si="47">I85*I16</f>
        <v>53.725314748576999</v>
      </c>
      <c r="J84" s="140">
        <f t="shared" si="47"/>
        <v>64.412311068171022</v>
      </c>
      <c r="K84" s="140">
        <f t="shared" si="47"/>
        <v>72.771309361285844</v>
      </c>
      <c r="L84" s="140">
        <f t="shared" si="47"/>
        <v>79.237114076626028</v>
      </c>
      <c r="M84" s="140">
        <f t="shared" si="47"/>
        <v>87.775725085828071</v>
      </c>
      <c r="N84" s="140">
        <f t="shared" si="47"/>
        <v>98.708005349479023</v>
      </c>
      <c r="O84" s="140">
        <f t="shared" si="47"/>
        <v>106.25499429679837</v>
      </c>
    </row>
    <row r="85" spans="2:15" x14ac:dyDescent="0.55000000000000004">
      <c r="B85" s="87" t="s">
        <v>245</v>
      </c>
      <c r="C85" s="87"/>
      <c r="D85" s="87"/>
      <c r="E85" s="87"/>
      <c r="F85" s="87"/>
      <c r="G85" s="258">
        <f>G84/G16</f>
        <v>6.1213434452871216E-4</v>
      </c>
      <c r="H85" s="258">
        <f>H84/H16</f>
        <v>2.2131813125695215E-2</v>
      </c>
      <c r="I85" s="277">
        <f>H85</f>
        <v>2.2131813125695215E-2</v>
      </c>
      <c r="J85" s="277">
        <f t="shared" ref="J85:O85" si="48">I85</f>
        <v>2.2131813125695215E-2</v>
      </c>
      <c r="K85" s="277">
        <f t="shared" si="48"/>
        <v>2.2131813125695215E-2</v>
      </c>
      <c r="L85" s="277">
        <f t="shared" si="48"/>
        <v>2.2131813125695215E-2</v>
      </c>
      <c r="M85" s="277">
        <f t="shared" si="48"/>
        <v>2.2131813125695215E-2</v>
      </c>
      <c r="N85" s="277">
        <f t="shared" si="48"/>
        <v>2.2131813125695215E-2</v>
      </c>
      <c r="O85" s="277">
        <f t="shared" si="48"/>
        <v>2.2131813125695215E-2</v>
      </c>
    </row>
    <row r="86" spans="2:15" x14ac:dyDescent="0.55000000000000004">
      <c r="B86" s="66" t="s">
        <v>973</v>
      </c>
      <c r="C86" s="66"/>
      <c r="D86" s="66"/>
      <c r="E86" s="66"/>
      <c r="F86" s="66"/>
      <c r="G86" s="140">
        <v>16.065000000000001</v>
      </c>
      <c r="H86" s="140">
        <v>42.792999999999999</v>
      </c>
      <c r="I86" s="133">
        <f>I81+I84</f>
        <v>141.14636738015597</v>
      </c>
      <c r="J86" s="133">
        <f t="shared" ref="J86:O86" si="49">J81+J84</f>
        <v>225.3465215944868</v>
      </c>
      <c r="K86" s="133">
        <f t="shared" si="49"/>
        <v>315.16604620339109</v>
      </c>
      <c r="L86" s="133">
        <f t="shared" si="49"/>
        <v>472.63185091873129</v>
      </c>
      <c r="M86" s="133">
        <f t="shared" si="49"/>
        <v>505.01256719109125</v>
      </c>
      <c r="N86" s="133">
        <f t="shared" si="49"/>
        <v>539.78695271790002</v>
      </c>
      <c r="O86" s="133">
        <f t="shared" si="49"/>
        <v>571.17604692837722</v>
      </c>
    </row>
    <row r="87" spans="2:15" x14ac:dyDescent="0.55000000000000004">
      <c r="B87" s="66"/>
      <c r="C87" s="66"/>
      <c r="D87" s="66"/>
      <c r="E87" s="66"/>
      <c r="F87" s="66"/>
      <c r="G87" s="66"/>
      <c r="H87" s="66"/>
      <c r="I87" s="66"/>
      <c r="J87" s="66"/>
      <c r="K87" s="66"/>
      <c r="L87" s="66"/>
      <c r="M87" s="66"/>
      <c r="N87" s="66"/>
      <c r="O87" s="66"/>
    </row>
    <row r="88" spans="2:15" x14ac:dyDescent="0.55000000000000004">
      <c r="B88" s="67" t="s">
        <v>976</v>
      </c>
      <c r="C88" s="66"/>
      <c r="D88" s="66"/>
      <c r="E88" s="66"/>
      <c r="F88" s="66"/>
      <c r="I88" s="66"/>
      <c r="J88" s="66"/>
      <c r="K88" s="66"/>
      <c r="L88" s="66"/>
      <c r="M88" s="66"/>
      <c r="N88" s="66"/>
      <c r="O88" s="66"/>
    </row>
    <row r="89" spans="2:15" x14ac:dyDescent="0.55000000000000004">
      <c r="B89" s="66" t="s">
        <v>975</v>
      </c>
      <c r="C89" s="66"/>
      <c r="D89" s="66"/>
      <c r="E89" s="66"/>
      <c r="F89" s="66"/>
      <c r="G89" s="66">
        <v>167</v>
      </c>
      <c r="H89" s="66">
        <v>207</v>
      </c>
      <c r="I89" s="140">
        <f t="shared" ref="I89:O89" si="50">I90*I36*1000</f>
        <v>347.52445120625953</v>
      </c>
      <c r="J89" s="140">
        <f t="shared" si="50"/>
        <v>426.50728102586402</v>
      </c>
      <c r="K89" s="140">
        <f t="shared" si="50"/>
        <v>481.79526189958716</v>
      </c>
      <c r="L89" s="140">
        <f t="shared" si="50"/>
        <v>521.28667680938929</v>
      </c>
      <c r="M89" s="140">
        <f t="shared" si="50"/>
        <v>552.87980873723109</v>
      </c>
      <c r="N89" s="140">
        <f t="shared" si="50"/>
        <v>584.47294066507288</v>
      </c>
      <c r="O89" s="140">
        <f t="shared" si="50"/>
        <v>616.06607259291457</v>
      </c>
    </row>
    <row r="90" spans="2:15" x14ac:dyDescent="0.55000000000000004">
      <c r="B90" s="66" t="s">
        <v>978</v>
      </c>
      <c r="C90" s="66"/>
      <c r="D90" s="66"/>
      <c r="E90" s="66"/>
      <c r="F90" s="66"/>
      <c r="G90" s="135">
        <f>G89/(AVERAGE(F36,G36)*1000)</f>
        <v>3.7694285714285714E-4</v>
      </c>
      <c r="H90" s="135">
        <f>H89/(AVERAGE(G36,H36)*1000)</f>
        <v>3.6219269102990041E-4</v>
      </c>
      <c r="I90" s="278">
        <f>H90</f>
        <v>3.6219269102990041E-4</v>
      </c>
      <c r="J90" s="278">
        <f t="shared" ref="J90:O90" si="51">I90</f>
        <v>3.6219269102990041E-4</v>
      </c>
      <c r="K90" s="278">
        <f t="shared" si="51"/>
        <v>3.6219269102990041E-4</v>
      </c>
      <c r="L90" s="278">
        <f t="shared" si="51"/>
        <v>3.6219269102990041E-4</v>
      </c>
      <c r="M90" s="278">
        <f t="shared" si="51"/>
        <v>3.6219269102990041E-4</v>
      </c>
      <c r="N90" s="278">
        <f t="shared" si="51"/>
        <v>3.6219269102990041E-4</v>
      </c>
      <c r="O90" s="278">
        <f t="shared" si="51"/>
        <v>3.6219269102990041E-4</v>
      </c>
    </row>
    <row r="91" spans="2:15" x14ac:dyDescent="0.55000000000000004">
      <c r="B91" s="66"/>
      <c r="C91" s="66"/>
      <c r="D91" s="66"/>
      <c r="E91" s="66"/>
      <c r="F91" s="66"/>
      <c r="G91" s="66"/>
      <c r="H91" s="66"/>
      <c r="I91" s="66"/>
      <c r="J91" s="66"/>
      <c r="K91" s="66"/>
      <c r="L91" s="66"/>
      <c r="M91" s="66"/>
      <c r="N91" s="66"/>
      <c r="O91" s="66"/>
    </row>
    <row r="92" spans="2:15" x14ac:dyDescent="0.55000000000000004">
      <c r="B92" s="66" t="s">
        <v>321</v>
      </c>
      <c r="C92" s="66"/>
      <c r="D92" s="66"/>
      <c r="E92" s="66"/>
      <c r="F92" s="66"/>
      <c r="G92" s="66">
        <f>G94-G89</f>
        <v>61.300000000000011</v>
      </c>
      <c r="H92" s="66">
        <f>H94-H89</f>
        <v>99.100000000000023</v>
      </c>
      <c r="I92" s="140">
        <f t="shared" ref="I92:O92" si="52">I93*I16</f>
        <v>121.37576447860359</v>
      </c>
      <c r="J92" s="140">
        <f t="shared" si="52"/>
        <v>145.51973374785959</v>
      </c>
      <c r="K92" s="140">
        <f t="shared" si="52"/>
        <v>164.40431009422761</v>
      </c>
      <c r="L92" s="140">
        <f t="shared" si="52"/>
        <v>179.01179995196844</v>
      </c>
      <c r="M92" s="140">
        <f t="shared" si="52"/>
        <v>198.30215578659423</v>
      </c>
      <c r="N92" s="140">
        <f t="shared" si="52"/>
        <v>223.00026841198616</v>
      </c>
      <c r="O92" s="140">
        <f t="shared" si="52"/>
        <v>240.05036029658925</v>
      </c>
    </row>
    <row r="93" spans="2:15" x14ac:dyDescent="0.55000000000000004">
      <c r="B93" s="87" t="s">
        <v>245</v>
      </c>
      <c r="C93" s="87"/>
      <c r="D93" s="87"/>
      <c r="E93" s="87"/>
      <c r="F93" s="87"/>
      <c r="G93" s="210">
        <f>G92/G16</f>
        <v>6.6413867822318534E-2</v>
      </c>
      <c r="H93" s="210">
        <f>H92/H16</f>
        <v>5.5116796440489446E-2</v>
      </c>
      <c r="I93" s="280">
        <v>0.05</v>
      </c>
      <c r="J93" s="280">
        <v>0.05</v>
      </c>
      <c r="K93" s="280">
        <v>0.05</v>
      </c>
      <c r="L93" s="280">
        <v>0.05</v>
      </c>
      <c r="M93" s="280">
        <v>0.05</v>
      </c>
      <c r="N93" s="280">
        <v>0.05</v>
      </c>
      <c r="O93" s="280">
        <v>0.05</v>
      </c>
    </row>
    <row r="94" spans="2:15" x14ac:dyDescent="0.55000000000000004">
      <c r="B94" s="66" t="s">
        <v>277</v>
      </c>
      <c r="C94" s="66"/>
      <c r="D94" s="66"/>
      <c r="E94" s="66"/>
      <c r="F94" s="66"/>
      <c r="G94" s="66">
        <v>228.3</v>
      </c>
      <c r="H94" s="66">
        <v>306.10000000000002</v>
      </c>
      <c r="I94" s="140">
        <f>I89+I92</f>
        <v>468.9002156848631</v>
      </c>
      <c r="J94" s="140">
        <f t="shared" ref="J94:O94" si="53">J89+J92</f>
        <v>572.02701477372364</v>
      </c>
      <c r="K94" s="140">
        <f t="shared" si="53"/>
        <v>646.19957199381474</v>
      </c>
      <c r="L94" s="140">
        <f t="shared" si="53"/>
        <v>700.29847676135773</v>
      </c>
      <c r="M94" s="140">
        <f t="shared" si="53"/>
        <v>751.18196452382529</v>
      </c>
      <c r="N94" s="140">
        <f t="shared" si="53"/>
        <v>807.47320907705898</v>
      </c>
      <c r="O94" s="140">
        <f t="shared" si="53"/>
        <v>856.11643288950381</v>
      </c>
    </row>
    <row r="95" spans="2:15" x14ac:dyDescent="0.55000000000000004">
      <c r="B95" s="67"/>
      <c r="C95" s="66"/>
      <c r="D95" s="66"/>
      <c r="E95" s="66"/>
      <c r="F95" s="66"/>
      <c r="G95" s="66"/>
      <c r="H95" s="66"/>
      <c r="I95" s="66"/>
      <c r="J95" s="66"/>
      <c r="K95" s="66"/>
      <c r="L95" s="66"/>
      <c r="M95" s="66"/>
      <c r="N95" s="66"/>
      <c r="O95" s="66"/>
    </row>
    <row r="96" spans="2:15" x14ac:dyDescent="0.55000000000000004">
      <c r="B96" s="67" t="s">
        <v>542</v>
      </c>
      <c r="C96" s="66"/>
      <c r="D96" s="66"/>
      <c r="E96" s="66"/>
      <c r="F96" s="66"/>
      <c r="I96" s="66"/>
      <c r="J96" s="66"/>
      <c r="K96" s="66"/>
      <c r="L96" s="66"/>
      <c r="M96" s="66"/>
      <c r="N96" s="66"/>
      <c r="O96" s="66"/>
    </row>
    <row r="97" spans="2:18" x14ac:dyDescent="0.55000000000000004">
      <c r="B97" s="66" t="s">
        <v>277</v>
      </c>
      <c r="C97" s="66"/>
      <c r="D97" s="66"/>
      <c r="E97" s="66"/>
      <c r="F97" s="66"/>
      <c r="G97" s="140">
        <v>5.2</v>
      </c>
      <c r="H97" s="140">
        <v>31.6</v>
      </c>
      <c r="I97" s="140">
        <f t="shared" ref="I97:O97" si="54">I98*I56</f>
        <v>67.820655737704911</v>
      </c>
      <c r="J97" s="140">
        <f t="shared" si="54"/>
        <v>140.55327868852459</v>
      </c>
      <c r="K97" s="140">
        <f t="shared" si="54"/>
        <v>197.26775956284155</v>
      </c>
      <c r="L97" s="140">
        <f t="shared" si="54"/>
        <v>172.60928961748635</v>
      </c>
      <c r="M97" s="140">
        <f t="shared" si="54"/>
        <v>155.34836065573771</v>
      </c>
      <c r="N97" s="140">
        <f t="shared" si="54"/>
        <v>135.62158469945356</v>
      </c>
      <c r="O97" s="140">
        <f t="shared" si="54"/>
        <v>128.22404371584702</v>
      </c>
    </row>
    <row r="98" spans="2:18" x14ac:dyDescent="0.55000000000000004">
      <c r="B98" s="66" t="s">
        <v>980</v>
      </c>
      <c r="C98" s="66"/>
      <c r="D98" s="66"/>
      <c r="E98" s="66"/>
      <c r="F98" s="66"/>
      <c r="G98" s="134">
        <f>G97/G56</f>
        <v>0.67532467532467533</v>
      </c>
      <c r="H98" s="134">
        <f>H97/H56</f>
        <v>0.8753462603878116</v>
      </c>
      <c r="I98" s="270">
        <v>0.9</v>
      </c>
      <c r="J98" s="270">
        <v>0.95</v>
      </c>
      <c r="K98" s="270">
        <v>0.8</v>
      </c>
      <c r="L98" s="270">
        <v>0.5</v>
      </c>
      <c r="M98" s="270">
        <v>0.35</v>
      </c>
      <c r="N98" s="270">
        <v>0.25</v>
      </c>
      <c r="O98" s="270">
        <v>0.2</v>
      </c>
    </row>
    <row r="99" spans="2:18" x14ac:dyDescent="0.55000000000000004">
      <c r="B99" s="67"/>
      <c r="C99" s="66"/>
      <c r="D99" s="66"/>
      <c r="E99" s="66"/>
      <c r="F99" s="66"/>
      <c r="G99" s="66"/>
      <c r="H99" s="66"/>
      <c r="I99" s="66"/>
      <c r="J99" s="66"/>
      <c r="K99" s="66"/>
      <c r="L99" s="66"/>
      <c r="M99" s="66"/>
      <c r="N99" s="66"/>
      <c r="O99" s="66"/>
    </row>
    <row r="100" spans="2:18" x14ac:dyDescent="0.55000000000000004">
      <c r="B100" s="66" t="s">
        <v>982</v>
      </c>
      <c r="C100" s="66"/>
      <c r="D100" s="66"/>
      <c r="E100" s="66"/>
      <c r="F100" s="66"/>
      <c r="G100" s="66">
        <v>8</v>
      </c>
      <c r="H100" s="66">
        <v>15</v>
      </c>
      <c r="I100" s="140">
        <f>I101*I$16</f>
        <v>20.251796075406602</v>
      </c>
      <c r="J100" s="140">
        <f t="shared" ref="J100:O100" si="55">J101*J$16</f>
        <v>24.280267032457104</v>
      </c>
      <c r="K100" s="140">
        <f t="shared" si="55"/>
        <v>27.431197457323847</v>
      </c>
      <c r="L100" s="140">
        <f t="shared" si="55"/>
        <v>29.868487199994735</v>
      </c>
      <c r="M100" s="140">
        <f t="shared" si="55"/>
        <v>33.087122767507381</v>
      </c>
      <c r="N100" s="140">
        <f t="shared" si="55"/>
        <v>37.208053683868656</v>
      </c>
      <c r="O100" s="140">
        <f t="shared" si="55"/>
        <v>40.052896601210662</v>
      </c>
    </row>
    <row r="101" spans="2:18" x14ac:dyDescent="0.55000000000000004">
      <c r="B101" s="66" t="s">
        <v>245</v>
      </c>
      <c r="C101" s="66"/>
      <c r="D101" s="66"/>
      <c r="E101" s="66"/>
      <c r="F101" s="66"/>
      <c r="G101" s="134">
        <f>G100/G$16</f>
        <v>8.6673889490790895E-3</v>
      </c>
      <c r="H101" s="134">
        <f>H100/H$16</f>
        <v>8.3426028921023358E-3</v>
      </c>
      <c r="I101" s="270">
        <f>H101</f>
        <v>8.3426028921023358E-3</v>
      </c>
      <c r="J101" s="270">
        <f t="shared" ref="J101:O101" si="56">I101</f>
        <v>8.3426028921023358E-3</v>
      </c>
      <c r="K101" s="270">
        <f t="shared" si="56"/>
        <v>8.3426028921023358E-3</v>
      </c>
      <c r="L101" s="270">
        <f t="shared" si="56"/>
        <v>8.3426028921023358E-3</v>
      </c>
      <c r="M101" s="270">
        <f t="shared" si="56"/>
        <v>8.3426028921023358E-3</v>
      </c>
      <c r="N101" s="270">
        <f t="shared" si="56"/>
        <v>8.3426028921023358E-3</v>
      </c>
      <c r="O101" s="270">
        <f t="shared" si="56"/>
        <v>8.3426028921023358E-3</v>
      </c>
      <c r="Q101" s="66"/>
      <c r="R101" s="66"/>
    </row>
    <row r="102" spans="2:18" x14ac:dyDescent="0.55000000000000004">
      <c r="B102" s="66" t="s">
        <v>321</v>
      </c>
      <c r="C102" s="66"/>
      <c r="D102" s="66"/>
      <c r="E102" s="66"/>
      <c r="F102" s="66"/>
      <c r="G102" s="66">
        <v>23</v>
      </c>
      <c r="H102" s="66">
        <v>32</v>
      </c>
      <c r="I102" s="140">
        <f>I103*I$16</f>
        <v>43.203831627534086</v>
      </c>
      <c r="J102" s="140">
        <f t="shared" ref="J102:O102" si="57">J103*J$16</f>
        <v>51.797903002575154</v>
      </c>
      <c r="K102" s="140">
        <f t="shared" si="57"/>
        <v>58.519887908957543</v>
      </c>
      <c r="L102" s="140">
        <f t="shared" si="57"/>
        <v>63.719439359988769</v>
      </c>
      <c r="M102" s="140">
        <f t="shared" si="57"/>
        <v>70.585861904015744</v>
      </c>
      <c r="N102" s="140">
        <f t="shared" si="57"/>
        <v>79.377181192253133</v>
      </c>
      <c r="O102" s="140">
        <f t="shared" si="57"/>
        <v>85.446179415916077</v>
      </c>
      <c r="Q102" s="66"/>
      <c r="R102" s="66"/>
    </row>
    <row r="103" spans="2:18" x14ac:dyDescent="0.55000000000000004">
      <c r="B103" s="66" t="s">
        <v>245</v>
      </c>
      <c r="C103" s="66"/>
      <c r="D103" s="66"/>
      <c r="E103" s="66"/>
      <c r="F103" s="66"/>
      <c r="G103" s="134">
        <f>G102/G$16</f>
        <v>2.4918743228602384E-2</v>
      </c>
      <c r="H103" s="134">
        <f>H102/H$16</f>
        <v>1.7797552836484983E-2</v>
      </c>
      <c r="I103" s="270">
        <f>H103</f>
        <v>1.7797552836484983E-2</v>
      </c>
      <c r="J103" s="270">
        <f t="shared" ref="J103:O103" si="58">I103</f>
        <v>1.7797552836484983E-2</v>
      </c>
      <c r="K103" s="270">
        <f t="shared" si="58"/>
        <v>1.7797552836484983E-2</v>
      </c>
      <c r="L103" s="270">
        <f t="shared" si="58"/>
        <v>1.7797552836484983E-2</v>
      </c>
      <c r="M103" s="270">
        <f t="shared" si="58"/>
        <v>1.7797552836484983E-2</v>
      </c>
      <c r="N103" s="270">
        <f t="shared" si="58"/>
        <v>1.7797552836484983E-2</v>
      </c>
      <c r="O103" s="270">
        <f t="shared" si="58"/>
        <v>1.7797552836484983E-2</v>
      </c>
      <c r="Q103" s="66"/>
      <c r="R103" s="66"/>
    </row>
    <row r="104" spans="2:18" x14ac:dyDescent="0.55000000000000004">
      <c r="B104" s="87"/>
      <c r="C104" s="87"/>
      <c r="D104" s="87"/>
      <c r="E104" s="87"/>
      <c r="F104" s="87"/>
      <c r="G104" s="87"/>
      <c r="H104" s="87"/>
      <c r="I104" s="87"/>
      <c r="J104" s="87"/>
      <c r="K104" s="87"/>
      <c r="L104" s="87"/>
      <c r="M104" s="87"/>
      <c r="N104" s="87"/>
      <c r="O104" s="87"/>
      <c r="Q104" s="66"/>
      <c r="R104" s="66"/>
    </row>
    <row r="105" spans="2:18" x14ac:dyDescent="0.55000000000000004">
      <c r="B105" s="67" t="s">
        <v>983</v>
      </c>
      <c r="C105" s="66"/>
      <c r="D105" s="66"/>
      <c r="E105" s="66"/>
      <c r="F105" s="66"/>
      <c r="G105" s="236">
        <f>G86+G94+G97+G100+G102</f>
        <v>280.565</v>
      </c>
      <c r="H105" s="236">
        <f>H86+H94+H97+H100+H102</f>
        <v>427.49300000000005</v>
      </c>
      <c r="I105" s="236">
        <f>I86+I94+I97+I100+I102</f>
        <v>741.32286650566459</v>
      </c>
      <c r="J105" s="236">
        <f t="shared" ref="J105:O105" si="59">J86+J94+J97+J100+J102</f>
        <v>1014.0049850917673</v>
      </c>
      <c r="K105" s="236">
        <f t="shared" si="59"/>
        <v>1244.5844631263287</v>
      </c>
      <c r="L105" s="236">
        <f t="shared" si="59"/>
        <v>1439.127543857559</v>
      </c>
      <c r="M105" s="236">
        <f t="shared" si="59"/>
        <v>1515.2158770421775</v>
      </c>
      <c r="N105" s="236">
        <f t="shared" si="59"/>
        <v>1599.4669813705343</v>
      </c>
      <c r="O105" s="236">
        <f t="shared" si="59"/>
        <v>1681.0155995508549</v>
      </c>
      <c r="Q105" s="66"/>
      <c r="R105" s="66"/>
    </row>
    <row r="106" spans="2:18" x14ac:dyDescent="0.55000000000000004">
      <c r="B106" s="67"/>
      <c r="C106" s="66"/>
      <c r="D106" s="66"/>
      <c r="E106" s="66"/>
      <c r="F106" s="66"/>
      <c r="G106" s="66"/>
      <c r="H106" s="66"/>
      <c r="I106" s="66"/>
      <c r="J106" s="66"/>
      <c r="K106" s="66"/>
      <c r="L106" s="66"/>
      <c r="M106" s="66"/>
      <c r="N106" s="66"/>
      <c r="O106" s="66"/>
      <c r="Q106" s="66"/>
      <c r="R106" s="66"/>
    </row>
    <row r="107" spans="2:18" x14ac:dyDescent="0.55000000000000004">
      <c r="B107" s="67" t="s">
        <v>156</v>
      </c>
      <c r="C107" s="66"/>
      <c r="D107" s="66"/>
      <c r="E107" s="66"/>
      <c r="F107" s="66"/>
      <c r="G107" s="236">
        <f t="shared" ref="G107:O107" si="60">G16-G105</f>
        <v>642.43499999999995</v>
      </c>
      <c r="H107" s="236">
        <f t="shared" si="60"/>
        <v>1370.5070000000001</v>
      </c>
      <c r="I107" s="236">
        <f t="shared" si="60"/>
        <v>1686.1924230664072</v>
      </c>
      <c r="J107" s="236">
        <f t="shared" si="60"/>
        <v>1896.3896898654243</v>
      </c>
      <c r="K107" s="236">
        <f t="shared" si="60"/>
        <v>2043.5017387582232</v>
      </c>
      <c r="L107" s="236">
        <f t="shared" si="60"/>
        <v>2141.1084551818099</v>
      </c>
      <c r="M107" s="236">
        <f t="shared" si="60"/>
        <v>2450.827238689707</v>
      </c>
      <c r="N107" s="236">
        <f t="shared" si="60"/>
        <v>2860.5383868691888</v>
      </c>
      <c r="O107" s="236">
        <f t="shared" si="60"/>
        <v>3119.9916063809296</v>
      </c>
      <c r="Q107" s="66"/>
      <c r="R107" s="66"/>
    </row>
    <row r="108" spans="2:18" x14ac:dyDescent="0.55000000000000004">
      <c r="B108" s="66" t="s">
        <v>984</v>
      </c>
      <c r="C108" s="66"/>
      <c r="D108" s="66"/>
      <c r="E108" s="66"/>
      <c r="F108" s="66"/>
      <c r="G108" s="134">
        <f t="shared" ref="G108:O108" si="61">G107/G16</f>
        <v>0.69602925243770308</v>
      </c>
      <c r="H108" s="134">
        <f t="shared" si="61"/>
        <v>0.76223971078976649</v>
      </c>
      <c r="I108" s="134">
        <f t="shared" si="61"/>
        <v>0.69461660254409907</v>
      </c>
      <c r="J108" s="134">
        <f t="shared" si="61"/>
        <v>0.65159193224998535</v>
      </c>
      <c r="K108" s="134">
        <f t="shared" si="61"/>
        <v>0.62148666832000921</v>
      </c>
      <c r="L108" s="134">
        <f t="shared" si="61"/>
        <v>0.59803556406792779</v>
      </c>
      <c r="M108" s="134">
        <f t="shared" si="61"/>
        <v>0.61795274715197768</v>
      </c>
      <c r="N108" s="134">
        <f t="shared" si="61"/>
        <v>0.64137554793979712</v>
      </c>
      <c r="O108" s="134">
        <f t="shared" si="61"/>
        <v>0.64986188784013676</v>
      </c>
      <c r="Q108" s="66"/>
      <c r="R108" s="66"/>
    </row>
    <row r="109" spans="2:18" x14ac:dyDescent="0.55000000000000004">
      <c r="B109" s="67"/>
      <c r="C109" s="66"/>
      <c r="D109" s="66"/>
      <c r="E109" s="66"/>
      <c r="F109" s="66"/>
      <c r="G109" s="66"/>
      <c r="H109" s="66"/>
      <c r="I109" s="66"/>
      <c r="J109" s="66"/>
      <c r="K109" s="66"/>
      <c r="L109" s="66"/>
      <c r="M109" s="66"/>
      <c r="N109" s="66"/>
      <c r="O109" s="66"/>
      <c r="Q109" s="66"/>
      <c r="R109" s="66"/>
    </row>
    <row r="110" spans="2:18" x14ac:dyDescent="0.55000000000000004">
      <c r="B110" s="67" t="s">
        <v>977</v>
      </c>
      <c r="C110" s="66"/>
      <c r="D110" s="66"/>
      <c r="E110" s="66"/>
      <c r="F110" s="66"/>
      <c r="G110" s="66"/>
      <c r="H110" s="66"/>
      <c r="I110" s="66"/>
      <c r="J110" s="66"/>
      <c r="K110" s="66"/>
      <c r="L110" s="66"/>
      <c r="M110" s="66"/>
      <c r="N110" s="66"/>
      <c r="O110" s="66"/>
      <c r="Q110" s="66"/>
      <c r="R110" s="66"/>
    </row>
    <row r="111" spans="2:18" x14ac:dyDescent="0.55000000000000004">
      <c r="B111" s="67"/>
      <c r="C111" s="66"/>
      <c r="D111" s="66"/>
      <c r="E111" s="66"/>
      <c r="F111" s="66"/>
      <c r="G111" s="66"/>
      <c r="H111" s="66"/>
      <c r="I111" s="66" t="s">
        <v>371</v>
      </c>
      <c r="J111" s="66"/>
      <c r="K111" s="66"/>
      <c r="L111" s="66"/>
      <c r="M111" s="66"/>
      <c r="N111" s="66"/>
      <c r="O111" s="66"/>
      <c r="Q111" s="66"/>
      <c r="R111" s="66"/>
    </row>
    <row r="112" spans="2:18" x14ac:dyDescent="0.55000000000000004">
      <c r="B112" s="66" t="s">
        <v>1002</v>
      </c>
      <c r="C112" s="66"/>
      <c r="D112" s="66"/>
      <c r="E112" s="66"/>
      <c r="F112" s="66"/>
      <c r="G112" s="140">
        <v>361.9</v>
      </c>
      <c r="H112" s="140">
        <v>498.4</v>
      </c>
      <c r="I112" s="140">
        <f>I115*AVERAGE(H113,I113)/1000000</f>
        <v>681.04154141485969</v>
      </c>
      <c r="J112" s="140">
        <f t="shared" ref="J112:O112" si="62">J115*AVERAGE(I113,J113)/1000000</f>
        <v>851.8302697476006</v>
      </c>
      <c r="K112" s="140">
        <f t="shared" si="62"/>
        <v>996.97427168147897</v>
      </c>
      <c r="L112" s="140">
        <f t="shared" si="62"/>
        <v>1132.9670755606116</v>
      </c>
      <c r="M112" s="140">
        <f t="shared" si="62"/>
        <v>1280.0667241484539</v>
      </c>
      <c r="N112" s="140">
        <f t="shared" si="62"/>
        <v>1439.0439199061789</v>
      </c>
      <c r="O112" s="140">
        <f t="shared" si="62"/>
        <v>1610.7186684293054</v>
      </c>
      <c r="Q112" s="66"/>
      <c r="R112" s="66"/>
    </row>
    <row r="113" spans="2:18" x14ac:dyDescent="0.55000000000000004">
      <c r="B113" s="66" t="s">
        <v>1000</v>
      </c>
      <c r="C113" s="66"/>
      <c r="D113" s="66"/>
      <c r="E113" s="66"/>
      <c r="F113" s="66"/>
      <c r="G113" s="66">
        <v>5913</v>
      </c>
      <c r="H113" s="66">
        <v>8152</v>
      </c>
      <c r="I113" s="66">
        <f>H113+I114</f>
        <v>10152</v>
      </c>
      <c r="J113" s="66">
        <f t="shared" ref="J113:O113" si="63">I113+J114</f>
        <v>11652</v>
      </c>
      <c r="K113" s="66">
        <f t="shared" si="63"/>
        <v>12652</v>
      </c>
      <c r="L113" s="66">
        <f t="shared" si="63"/>
        <v>13652</v>
      </c>
      <c r="M113" s="66">
        <f t="shared" si="63"/>
        <v>14652</v>
      </c>
      <c r="N113" s="66">
        <f t="shared" si="63"/>
        <v>15652</v>
      </c>
      <c r="O113" s="66">
        <f t="shared" si="63"/>
        <v>16652</v>
      </c>
      <c r="Q113" s="66"/>
      <c r="R113" s="66"/>
    </row>
    <row r="114" spans="2:18" x14ac:dyDescent="0.55000000000000004">
      <c r="B114" s="66" t="s">
        <v>1007</v>
      </c>
      <c r="C114" s="66"/>
      <c r="D114" s="66"/>
      <c r="E114" s="66"/>
      <c r="F114" s="66"/>
      <c r="G114" s="66"/>
      <c r="H114" s="66">
        <f>H113-G113</f>
        <v>2239</v>
      </c>
      <c r="I114" s="269">
        <v>2000</v>
      </c>
      <c r="J114" s="269">
        <v>1500</v>
      </c>
      <c r="K114" s="269">
        <v>1000</v>
      </c>
      <c r="L114" s="269">
        <v>1000</v>
      </c>
      <c r="M114" s="269">
        <v>1000</v>
      </c>
      <c r="N114" s="269">
        <v>1000</v>
      </c>
      <c r="O114" s="269">
        <v>1000</v>
      </c>
      <c r="Q114" s="66"/>
      <c r="R114" s="66"/>
    </row>
    <row r="115" spans="2:18" x14ac:dyDescent="0.55000000000000004">
      <c r="B115" s="66" t="s">
        <v>1001</v>
      </c>
      <c r="C115" s="66"/>
      <c r="D115" s="66"/>
      <c r="E115" s="66"/>
      <c r="F115" s="66"/>
      <c r="G115" s="140">
        <f>G112*1000000/AVERAGE(F113,G113)</f>
        <v>61204.126500930157</v>
      </c>
      <c r="H115" s="66">
        <f>H112*1000000/AVERAGE(G113,H113)</f>
        <v>70870.956274440105</v>
      </c>
      <c r="I115" s="140">
        <f>(1+I116)*H115</f>
        <v>74414.50408816211</v>
      </c>
      <c r="J115" s="140">
        <f t="shared" ref="J115:O115" si="64">(1+J116)*I115</f>
        <v>78135.22929257022</v>
      </c>
      <c r="K115" s="140">
        <f t="shared" si="64"/>
        <v>82041.990757198728</v>
      </c>
      <c r="L115" s="140">
        <f t="shared" si="64"/>
        <v>86144.090295058675</v>
      </c>
      <c r="M115" s="140">
        <f t="shared" si="64"/>
        <v>90451.294809811618</v>
      </c>
      <c r="N115" s="140">
        <f t="shared" si="64"/>
        <v>94973.859550302208</v>
      </c>
      <c r="O115" s="140">
        <f t="shared" si="64"/>
        <v>99722.552527817315</v>
      </c>
      <c r="Q115" s="66"/>
      <c r="R115" s="66"/>
    </row>
    <row r="116" spans="2:18" x14ac:dyDescent="0.55000000000000004">
      <c r="B116" s="66" t="s">
        <v>393</v>
      </c>
      <c r="C116" s="66"/>
      <c r="D116" s="66"/>
      <c r="E116" s="66"/>
      <c r="F116" s="66"/>
      <c r="G116" s="140"/>
      <c r="H116" s="281">
        <f>H115/G115-1</f>
        <v>0.15794408524665471</v>
      </c>
      <c r="I116" s="270">
        <v>0.05</v>
      </c>
      <c r="J116" s="270">
        <v>0.05</v>
      </c>
      <c r="K116" s="270">
        <v>0.05</v>
      </c>
      <c r="L116" s="270">
        <v>0.05</v>
      </c>
      <c r="M116" s="270">
        <v>0.05</v>
      </c>
      <c r="N116" s="270">
        <v>0.05</v>
      </c>
      <c r="O116" s="270">
        <v>0.05</v>
      </c>
      <c r="Q116" s="66"/>
      <c r="R116" s="66"/>
    </row>
    <row r="117" spans="2:18" x14ac:dyDescent="0.55000000000000004">
      <c r="B117" s="66"/>
      <c r="C117" s="66"/>
      <c r="D117" s="66"/>
      <c r="E117" s="66"/>
      <c r="F117" s="66"/>
      <c r="G117" s="66"/>
      <c r="H117" s="66"/>
      <c r="I117" s="66"/>
      <c r="J117" s="66"/>
      <c r="K117" s="66"/>
      <c r="L117" s="66"/>
      <c r="M117" s="66"/>
      <c r="N117" s="66"/>
      <c r="O117" s="66"/>
      <c r="Q117" s="66"/>
      <c r="R117" s="66"/>
    </row>
    <row r="118" spans="2:18" x14ac:dyDescent="0.55000000000000004">
      <c r="B118" s="66" t="s">
        <v>986</v>
      </c>
      <c r="C118" s="66"/>
      <c r="D118" s="66"/>
      <c r="E118" s="66"/>
      <c r="F118" s="66"/>
      <c r="G118" s="66">
        <v>129.30000000000001</v>
      </c>
      <c r="H118" s="66">
        <v>241.3</v>
      </c>
      <c r="I118" s="140">
        <f>I119*I16</f>
        <v>325.78389286637429</v>
      </c>
      <c r="J118" s="140">
        <f t="shared" ref="J118:O118" si="65">J119*J16</f>
        <v>320.14341424529107</v>
      </c>
      <c r="K118" s="140">
        <f t="shared" si="65"/>
        <v>263.04689615076416</v>
      </c>
      <c r="L118" s="140">
        <f t="shared" si="65"/>
        <v>214.81415994236212</v>
      </c>
      <c r="M118" s="140">
        <f t="shared" si="65"/>
        <v>198.30215578659423</v>
      </c>
      <c r="N118" s="140">
        <f t="shared" si="65"/>
        <v>223.00026841198616</v>
      </c>
      <c r="O118" s="140">
        <f t="shared" si="65"/>
        <v>240.05036029658925</v>
      </c>
      <c r="Q118" s="66"/>
      <c r="R118" s="66"/>
    </row>
    <row r="119" spans="2:18" x14ac:dyDescent="0.55000000000000004">
      <c r="B119" s="66" t="s">
        <v>245</v>
      </c>
      <c r="C119" s="66"/>
      <c r="D119" s="66"/>
      <c r="E119" s="66"/>
      <c r="F119" s="66"/>
      <c r="G119" s="134">
        <f>G118/G16</f>
        <v>0.14008667388949081</v>
      </c>
      <c r="H119" s="134">
        <f>H118/H16</f>
        <v>0.13420467185761958</v>
      </c>
      <c r="I119" s="270">
        <f>H119</f>
        <v>0.13420467185761958</v>
      </c>
      <c r="J119" s="270">
        <v>0.11</v>
      </c>
      <c r="K119" s="270">
        <v>0.08</v>
      </c>
      <c r="L119" s="270">
        <v>0.06</v>
      </c>
      <c r="M119" s="270">
        <v>0.05</v>
      </c>
      <c r="N119" s="270">
        <v>0.05</v>
      </c>
      <c r="O119" s="270">
        <v>0.05</v>
      </c>
      <c r="Q119" s="66"/>
      <c r="R119" s="66"/>
    </row>
    <row r="120" spans="2:18" x14ac:dyDescent="0.55000000000000004">
      <c r="B120" s="66" t="s">
        <v>999</v>
      </c>
      <c r="C120" s="66"/>
      <c r="D120" s="66"/>
      <c r="E120" s="66"/>
      <c r="F120" s="66"/>
      <c r="G120" s="133"/>
      <c r="H120" s="133">
        <f>H118/H6</f>
        <v>20.449152542372882</v>
      </c>
      <c r="I120" s="133">
        <f t="shared" ref="I120:O120" si="66">I118/I6</f>
        <v>27.148657738864525</v>
      </c>
      <c r="J120" s="133">
        <f t="shared" si="66"/>
        <v>40.017926780661384</v>
      </c>
      <c r="K120" s="133">
        <f t="shared" si="66"/>
        <v>43.84114935846069</v>
      </c>
      <c r="L120" s="133">
        <f t="shared" si="66"/>
        <v>53.703539985590531</v>
      </c>
      <c r="M120" s="133">
        <f t="shared" si="66"/>
        <v>49.575538946648557</v>
      </c>
      <c r="N120" s="133">
        <f t="shared" si="66"/>
        <v>55.750067102996539</v>
      </c>
      <c r="O120" s="133">
        <f t="shared" si="66"/>
        <v>60.012590074147312</v>
      </c>
      <c r="Q120" s="66"/>
      <c r="R120" s="66"/>
    </row>
    <row r="121" spans="2:18" x14ac:dyDescent="0.55000000000000004">
      <c r="B121" s="66"/>
      <c r="C121" s="66"/>
      <c r="D121" s="66"/>
      <c r="E121" s="66"/>
      <c r="F121" s="66"/>
      <c r="G121" s="66"/>
      <c r="H121" s="66"/>
      <c r="I121" s="66"/>
      <c r="J121" s="66"/>
      <c r="K121" s="66"/>
      <c r="L121" s="66"/>
      <c r="M121" s="66"/>
      <c r="N121" s="66"/>
      <c r="O121" s="66"/>
      <c r="Q121" s="66"/>
      <c r="R121" s="66"/>
    </row>
    <row r="122" spans="2:18" x14ac:dyDescent="0.55000000000000004">
      <c r="B122" s="66" t="s">
        <v>321</v>
      </c>
      <c r="C122" s="66"/>
      <c r="D122" s="66"/>
      <c r="E122" s="66"/>
      <c r="F122" s="66"/>
      <c r="G122" s="140">
        <f>G125-G112-G118</f>
        <v>175.8</v>
      </c>
      <c r="H122" s="140">
        <f>H125-H112-H118</f>
        <v>193.09999999999997</v>
      </c>
      <c r="I122" s="140">
        <f t="shared" ref="I122:O122" si="67">I123*I16</f>
        <v>218.47637606148643</v>
      </c>
      <c r="J122" s="140">
        <f t="shared" si="67"/>
        <v>247.38354737136126</v>
      </c>
      <c r="K122" s="140">
        <f t="shared" si="67"/>
        <v>263.0468961507641</v>
      </c>
      <c r="L122" s="140">
        <f t="shared" si="67"/>
        <v>268.51769992795261</v>
      </c>
      <c r="M122" s="140">
        <f t="shared" si="67"/>
        <v>277.62301810123182</v>
      </c>
      <c r="N122" s="140">
        <f t="shared" si="67"/>
        <v>289.90034893558186</v>
      </c>
      <c r="O122" s="140">
        <f t="shared" si="67"/>
        <v>288.06043235590698</v>
      </c>
      <c r="Q122" s="66"/>
      <c r="R122" s="66"/>
    </row>
    <row r="123" spans="2:18" x14ac:dyDescent="0.55000000000000004">
      <c r="B123" s="66" t="s">
        <v>245</v>
      </c>
      <c r="C123" s="66"/>
      <c r="D123" s="66"/>
      <c r="E123" s="66"/>
      <c r="F123" s="66"/>
      <c r="G123" s="134">
        <f>G122/G16</f>
        <v>0.19046587215601302</v>
      </c>
      <c r="H123" s="134">
        <f>H122/H16</f>
        <v>0.10739710789766405</v>
      </c>
      <c r="I123" s="270">
        <v>0.09</v>
      </c>
      <c r="J123" s="270">
        <f t="shared" ref="J123:O123" si="68">I123-0.5%</f>
        <v>8.4999999999999992E-2</v>
      </c>
      <c r="K123" s="270">
        <f t="shared" si="68"/>
        <v>7.9999999999999988E-2</v>
      </c>
      <c r="L123" s="270">
        <f t="shared" si="68"/>
        <v>7.4999999999999983E-2</v>
      </c>
      <c r="M123" s="270">
        <f t="shared" si="68"/>
        <v>6.9999999999999979E-2</v>
      </c>
      <c r="N123" s="270">
        <f t="shared" si="68"/>
        <v>6.4999999999999974E-2</v>
      </c>
      <c r="O123" s="270">
        <f t="shared" si="68"/>
        <v>5.9999999999999977E-2</v>
      </c>
      <c r="Q123" s="66"/>
      <c r="R123" s="66"/>
    </row>
    <row r="124" spans="2:18" x14ac:dyDescent="0.55000000000000004">
      <c r="B124" s="66"/>
      <c r="C124" s="66"/>
      <c r="D124" s="66"/>
      <c r="E124" s="66"/>
      <c r="F124" s="66"/>
      <c r="G124" s="134"/>
      <c r="H124" s="134"/>
      <c r="I124" s="66"/>
      <c r="J124" s="66"/>
      <c r="K124" s="66"/>
      <c r="L124" s="66"/>
      <c r="M124" s="66"/>
      <c r="N124" s="66"/>
      <c r="O124" s="66"/>
      <c r="Q124" s="66"/>
      <c r="R124" s="66"/>
    </row>
    <row r="125" spans="2:18" x14ac:dyDescent="0.55000000000000004">
      <c r="B125" s="67" t="s">
        <v>1008</v>
      </c>
      <c r="C125" s="66"/>
      <c r="D125" s="66"/>
      <c r="E125" s="66"/>
      <c r="F125" s="66"/>
      <c r="G125" s="236">
        <v>667</v>
      </c>
      <c r="H125" s="236">
        <v>932.8</v>
      </c>
      <c r="I125" s="236">
        <f>I112+I118+I122</f>
        <v>1225.3018103427205</v>
      </c>
      <c r="J125" s="236">
        <f t="shared" ref="J125:O125" si="69">J112+J118+J122</f>
        <v>1419.357231364253</v>
      </c>
      <c r="K125" s="236">
        <f t="shared" si="69"/>
        <v>1523.0680639830071</v>
      </c>
      <c r="L125" s="236">
        <f t="shared" si="69"/>
        <v>1616.2989354309263</v>
      </c>
      <c r="M125" s="236">
        <f t="shared" si="69"/>
        <v>1755.99189803628</v>
      </c>
      <c r="N125" s="236">
        <f t="shared" si="69"/>
        <v>1951.9445372537468</v>
      </c>
      <c r="O125" s="236">
        <f t="shared" si="69"/>
        <v>2138.8294610818016</v>
      </c>
      <c r="Q125" s="66"/>
      <c r="R125" s="66"/>
    </row>
    <row r="126" spans="2:18" x14ac:dyDescent="0.55000000000000004">
      <c r="B126" s="66" t="s">
        <v>544</v>
      </c>
      <c r="C126" s="66"/>
      <c r="D126" s="66"/>
      <c r="E126" s="66"/>
      <c r="F126" s="66"/>
      <c r="G126" s="171">
        <f t="shared" ref="G126:O126" si="70">G125/G16</f>
        <v>0.72264355362946908</v>
      </c>
      <c r="H126" s="171">
        <f t="shared" si="70"/>
        <v>0.51879866518353723</v>
      </c>
      <c r="I126" s="171">
        <f t="shared" si="70"/>
        <v>0.50475554803146871</v>
      </c>
      <c r="J126" s="171">
        <f t="shared" si="70"/>
        <v>0.48768548251454252</v>
      </c>
      <c r="K126" s="171">
        <f t="shared" si="70"/>
        <v>0.46320807012604093</v>
      </c>
      <c r="L126" s="171">
        <f t="shared" si="70"/>
        <v>0.45145038926612763</v>
      </c>
      <c r="M126" s="171">
        <f t="shared" si="70"/>
        <v>0.44275663344931471</v>
      </c>
      <c r="N126" s="171">
        <f t="shared" si="70"/>
        <v>0.43765519906182115</v>
      </c>
      <c r="O126" s="171">
        <f t="shared" si="70"/>
        <v>0.44549599059947576</v>
      </c>
      <c r="Q126" s="66"/>
      <c r="R126" s="66"/>
    </row>
    <row r="127" spans="2:18" x14ac:dyDescent="0.55000000000000004">
      <c r="B127" s="67"/>
      <c r="C127" s="66"/>
      <c r="D127" s="66"/>
      <c r="E127" s="66"/>
      <c r="F127" s="66"/>
      <c r="G127" s="66"/>
      <c r="H127" s="66"/>
      <c r="I127" s="66"/>
      <c r="J127" s="66"/>
      <c r="K127" s="66"/>
      <c r="L127" s="66"/>
      <c r="M127" s="66"/>
      <c r="N127" s="66"/>
      <c r="O127" s="66"/>
      <c r="Q127" s="66"/>
      <c r="R127" s="66"/>
    </row>
    <row r="128" spans="2:18" x14ac:dyDescent="0.55000000000000004">
      <c r="B128" s="67" t="s">
        <v>987</v>
      </c>
      <c r="C128" s="67"/>
      <c r="D128" s="67"/>
      <c r="E128" s="67"/>
      <c r="F128" s="67"/>
      <c r="G128" s="236">
        <f>G107-G125</f>
        <v>-24.565000000000055</v>
      </c>
      <c r="H128" s="236">
        <f>H107-H125</f>
        <v>437.70700000000011</v>
      </c>
      <c r="I128" s="236">
        <f>I107-I125</f>
        <v>460.89061272368667</v>
      </c>
      <c r="J128" s="236">
        <f t="shared" ref="J128:O128" si="71">J107-J125</f>
        <v>477.03245850117128</v>
      </c>
      <c r="K128" s="236">
        <f t="shared" si="71"/>
        <v>520.4336747752161</v>
      </c>
      <c r="L128" s="236">
        <f t="shared" si="71"/>
        <v>524.80951975088351</v>
      </c>
      <c r="M128" s="236">
        <f t="shared" si="71"/>
        <v>694.83534065342701</v>
      </c>
      <c r="N128" s="236">
        <f t="shared" si="71"/>
        <v>908.59384961544197</v>
      </c>
      <c r="O128" s="236">
        <f t="shared" si="71"/>
        <v>981.16214529912804</v>
      </c>
      <c r="Q128" s="66"/>
      <c r="R128" s="66"/>
    </row>
    <row r="129" spans="2:18" x14ac:dyDescent="0.55000000000000004">
      <c r="B129" s="66" t="s">
        <v>245</v>
      </c>
      <c r="C129" s="66"/>
      <c r="D129" s="66"/>
      <c r="E129" s="66"/>
      <c r="F129" s="66"/>
      <c r="G129" s="171">
        <f t="shared" ref="G129:O129" si="72">G128/G16</f>
        <v>-2.661430119176604E-2</v>
      </c>
      <c r="H129" s="171">
        <f t="shared" si="72"/>
        <v>0.2434410456062292</v>
      </c>
      <c r="I129" s="171">
        <f t="shared" si="72"/>
        <v>0.18986105451263033</v>
      </c>
      <c r="J129" s="171">
        <f t="shared" si="72"/>
        <v>0.1639064497354428</v>
      </c>
      <c r="K129" s="171">
        <f t="shared" si="72"/>
        <v>0.15827859819396822</v>
      </c>
      <c r="L129" s="171">
        <f t="shared" si="72"/>
        <v>0.14658517480180017</v>
      </c>
      <c r="M129" s="171">
        <f t="shared" si="72"/>
        <v>0.175196113702663</v>
      </c>
      <c r="N129" s="171">
        <f t="shared" si="72"/>
        <v>0.20372034887797597</v>
      </c>
      <c r="O129" s="171">
        <f t="shared" si="72"/>
        <v>0.20436589724066101</v>
      </c>
      <c r="Q129" s="66"/>
      <c r="R129" s="66"/>
    </row>
    <row r="130" spans="2:18" x14ac:dyDescent="0.55000000000000004">
      <c r="B130" s="67"/>
      <c r="C130" s="66"/>
      <c r="D130" s="66"/>
      <c r="E130" s="66"/>
      <c r="F130" s="66"/>
      <c r="G130" s="66"/>
      <c r="H130" s="66"/>
      <c r="I130" s="66"/>
      <c r="J130" s="66"/>
      <c r="K130" s="66"/>
      <c r="L130" s="66"/>
      <c r="M130" s="66"/>
      <c r="N130" s="66"/>
      <c r="O130" s="66"/>
      <c r="Q130" s="66"/>
      <c r="R130" s="66"/>
    </row>
    <row r="131" spans="2:18" x14ac:dyDescent="0.55000000000000004">
      <c r="B131" s="66" t="s">
        <v>1003</v>
      </c>
      <c r="C131" s="66"/>
      <c r="D131" s="66"/>
      <c r="E131" s="66"/>
      <c r="F131" s="66"/>
      <c r="G131" s="140">
        <v>31.2</v>
      </c>
      <c r="H131" s="140">
        <v>93.7</v>
      </c>
      <c r="I131" s="140">
        <f>I132*I128</f>
        <v>98.662919286667645</v>
      </c>
      <c r="J131" s="140">
        <f t="shared" ref="J131:O131" si="73">J132*J128</f>
        <v>102.11840651750998</v>
      </c>
      <c r="K131" s="140">
        <f t="shared" si="73"/>
        <v>111.40931108352788</v>
      </c>
      <c r="L131" s="140">
        <f t="shared" si="73"/>
        <v>112.34604884239405</v>
      </c>
      <c r="M131" s="140">
        <f t="shared" si="73"/>
        <v>148.74350060480208</v>
      </c>
      <c r="N131" s="140">
        <f t="shared" si="73"/>
        <v>194.50281514567254</v>
      </c>
      <c r="O131" s="140">
        <f t="shared" si="73"/>
        <v>210.03752056633382</v>
      </c>
      <c r="Q131" s="66"/>
      <c r="R131" s="66"/>
    </row>
    <row r="132" spans="2:18" x14ac:dyDescent="0.55000000000000004">
      <c r="B132" s="66" t="s">
        <v>1004</v>
      </c>
      <c r="C132" s="66"/>
      <c r="D132" s="66"/>
      <c r="E132" s="66"/>
      <c r="F132" s="66"/>
      <c r="G132" s="134">
        <f>G131/G128</f>
        <v>-1.2700997353958856</v>
      </c>
      <c r="H132" s="134">
        <f>H131/H128</f>
        <v>0.21407014281242928</v>
      </c>
      <c r="I132" s="270">
        <f>H132</f>
        <v>0.21407014281242928</v>
      </c>
      <c r="J132" s="270">
        <f t="shared" ref="J132:O132" si="74">I132</f>
        <v>0.21407014281242928</v>
      </c>
      <c r="K132" s="270">
        <f t="shared" si="74"/>
        <v>0.21407014281242928</v>
      </c>
      <c r="L132" s="270">
        <f t="shared" si="74"/>
        <v>0.21407014281242928</v>
      </c>
      <c r="M132" s="270">
        <f t="shared" si="74"/>
        <v>0.21407014281242928</v>
      </c>
      <c r="N132" s="270">
        <f t="shared" si="74"/>
        <v>0.21407014281242928</v>
      </c>
      <c r="O132" s="270">
        <f t="shared" si="74"/>
        <v>0.21407014281242928</v>
      </c>
      <c r="Q132" s="66"/>
      <c r="R132" s="66"/>
    </row>
    <row r="133" spans="2:18" x14ac:dyDescent="0.55000000000000004">
      <c r="B133" s="67" t="s">
        <v>661</v>
      </c>
      <c r="C133" s="66"/>
      <c r="D133" s="66"/>
      <c r="E133" s="66"/>
      <c r="F133" s="66"/>
      <c r="G133" s="236">
        <f>G128-G131</f>
        <v>-55.765000000000057</v>
      </c>
      <c r="H133" s="236">
        <f>H128-H131</f>
        <v>344.00700000000012</v>
      </c>
      <c r="I133" s="236">
        <f>I128-I131</f>
        <v>362.22769343701901</v>
      </c>
      <c r="J133" s="236">
        <f t="shared" ref="J133:O133" si="75">J128-J131</f>
        <v>374.9140519836613</v>
      </c>
      <c r="K133" s="236">
        <f t="shared" si="75"/>
        <v>409.02436369168822</v>
      </c>
      <c r="L133" s="236">
        <f t="shared" si="75"/>
        <v>412.46347090848946</v>
      </c>
      <c r="M133" s="236">
        <f t="shared" si="75"/>
        <v>546.09184004862493</v>
      </c>
      <c r="N133" s="236">
        <f t="shared" si="75"/>
        <v>714.0910344697694</v>
      </c>
      <c r="O133" s="236">
        <f t="shared" si="75"/>
        <v>771.12462473279425</v>
      </c>
      <c r="Q133" s="66"/>
      <c r="R133" s="66"/>
    </row>
    <row r="134" spans="2:18" x14ac:dyDescent="0.55000000000000004">
      <c r="B134" s="66" t="s">
        <v>171</v>
      </c>
      <c r="C134" s="66"/>
      <c r="D134" s="66"/>
      <c r="E134" s="66"/>
      <c r="F134" s="66"/>
      <c r="G134" s="134">
        <f t="shared" ref="G134:O134" si="76">G133/G16</f>
        <v>-6.0417118093174495E-2</v>
      </c>
      <c r="H134" s="134">
        <f t="shared" si="76"/>
        <v>0.1913275862068966</v>
      </c>
      <c r="I134" s="134">
        <f t="shared" si="76"/>
        <v>0.14921747145859313</v>
      </c>
      <c r="J134" s="134">
        <f t="shared" si="76"/>
        <v>0.12881897263269829</v>
      </c>
      <c r="K134" s="134">
        <f t="shared" si="76"/>
        <v>0.12439587607443435</v>
      </c>
      <c r="L134" s="134">
        <f t="shared" si="76"/>
        <v>0.11520566549779389</v>
      </c>
      <c r="M134" s="134">
        <f t="shared" si="76"/>
        <v>0.13769185662215133</v>
      </c>
      <c r="N134" s="134">
        <f t="shared" si="76"/>
        <v>0.16010990469986972</v>
      </c>
      <c r="O134" s="134">
        <f t="shared" si="76"/>
        <v>0.16061726043236246</v>
      </c>
      <c r="Q134" s="66"/>
      <c r="R134" s="66"/>
    </row>
    <row r="135" spans="2:18" x14ac:dyDescent="0.55000000000000004">
      <c r="B135" s="66"/>
      <c r="C135" s="66"/>
      <c r="D135" s="66"/>
      <c r="E135" s="66"/>
      <c r="F135" s="66"/>
      <c r="G135" s="66"/>
      <c r="H135" s="66"/>
      <c r="I135" s="66"/>
      <c r="J135" s="66"/>
      <c r="K135" s="66"/>
      <c r="L135" s="66"/>
      <c r="M135" s="66"/>
      <c r="N135" s="66"/>
      <c r="O135" s="66"/>
      <c r="Q135" s="66"/>
      <c r="R135" s="66"/>
    </row>
    <row r="136" spans="2:18" x14ac:dyDescent="0.55000000000000004">
      <c r="B136" s="67" t="s">
        <v>166</v>
      </c>
      <c r="C136" s="279">
        <v>45000</v>
      </c>
      <c r="D136" s="66"/>
      <c r="E136" s="66"/>
      <c r="F136" s="66"/>
      <c r="G136" s="66"/>
      <c r="H136" s="66"/>
      <c r="I136" s="66"/>
      <c r="J136" s="66"/>
      <c r="K136" s="66"/>
      <c r="L136" s="66"/>
      <c r="M136" s="66"/>
      <c r="N136" s="66"/>
      <c r="O136" s="66"/>
      <c r="Q136" s="66"/>
      <c r="R136" s="66"/>
    </row>
    <row r="137" spans="2:18" x14ac:dyDescent="0.55000000000000004">
      <c r="B137" s="66" t="s">
        <v>287</v>
      </c>
      <c r="C137" s="66"/>
      <c r="D137" s="66"/>
      <c r="E137" s="66"/>
      <c r="F137" s="66"/>
      <c r="G137" s="66"/>
      <c r="H137" s="133">
        <f t="shared" ref="H137:O137" si="77">$C$136/H107</f>
        <v>32.834564143050706</v>
      </c>
      <c r="I137" s="133">
        <f t="shared" si="77"/>
        <v>26.687345634115548</v>
      </c>
      <c r="J137" s="133">
        <f t="shared" si="77"/>
        <v>23.729300069751691</v>
      </c>
      <c r="K137" s="133">
        <f t="shared" si="77"/>
        <v>22.021023592250621</v>
      </c>
      <c r="L137" s="133">
        <f t="shared" si="77"/>
        <v>21.017151135475235</v>
      </c>
      <c r="M137" s="133">
        <f t="shared" si="77"/>
        <v>18.36114732593656</v>
      </c>
      <c r="N137" s="133">
        <f t="shared" si="77"/>
        <v>15.731304360942957</v>
      </c>
      <c r="O137" s="133">
        <f t="shared" si="77"/>
        <v>14.423115725044617</v>
      </c>
      <c r="Q137" s="66"/>
      <c r="R137" s="66"/>
    </row>
    <row r="138" spans="2:18" x14ac:dyDescent="0.55000000000000004">
      <c r="B138" s="66" t="s">
        <v>1005</v>
      </c>
      <c r="C138" s="66"/>
      <c r="D138" s="66"/>
      <c r="E138" s="66"/>
      <c r="F138" s="66"/>
      <c r="G138" s="66"/>
      <c r="H138" s="140">
        <f t="shared" ref="H138:O138" si="78">$C$136/H133</f>
        <v>130.81129163069352</v>
      </c>
      <c r="I138" s="140">
        <f t="shared" si="78"/>
        <v>124.2312523733755</v>
      </c>
      <c r="J138" s="140">
        <f t="shared" si="78"/>
        <v>120.0275096702993</v>
      </c>
      <c r="K138" s="140">
        <f t="shared" si="78"/>
        <v>110.01789622957476</v>
      </c>
      <c r="L138" s="140">
        <f t="shared" si="78"/>
        <v>109.10057053266628</v>
      </c>
      <c r="M138" s="140">
        <f t="shared" si="78"/>
        <v>82.403721681673773</v>
      </c>
      <c r="N138" s="140">
        <f t="shared" si="78"/>
        <v>63.017175440962696</v>
      </c>
      <c r="O138" s="140">
        <f t="shared" si="78"/>
        <v>58.35632601616522</v>
      </c>
      <c r="Q138" s="66"/>
      <c r="R138" s="66"/>
    </row>
    <row r="139" spans="2:18" x14ac:dyDescent="0.55000000000000004">
      <c r="B139" s="66"/>
      <c r="C139" s="66"/>
      <c r="D139" s="66"/>
      <c r="E139" s="66"/>
      <c r="F139" s="66"/>
      <c r="G139" s="66"/>
      <c r="H139" s="66"/>
      <c r="I139" s="66"/>
      <c r="J139" s="66"/>
      <c r="K139" s="66"/>
      <c r="L139" s="66"/>
      <c r="M139" s="66"/>
      <c r="N139" s="66"/>
      <c r="O139" s="66"/>
      <c r="P139" s="66"/>
      <c r="Q139" s="66"/>
      <c r="R139" s="66"/>
    </row>
    <row r="140" spans="2:18" x14ac:dyDescent="0.55000000000000004">
      <c r="B140" s="66"/>
      <c r="C140" s="66"/>
      <c r="D140" s="66"/>
      <c r="E140" s="66"/>
      <c r="F140" s="66"/>
      <c r="G140" s="66"/>
      <c r="H140" s="66"/>
      <c r="I140" s="66"/>
      <c r="J140" s="66"/>
      <c r="K140" s="66"/>
      <c r="L140" s="66"/>
      <c r="M140" s="66"/>
      <c r="N140" s="66"/>
      <c r="O140" s="66"/>
      <c r="P140" s="66"/>
      <c r="Q140" s="66"/>
      <c r="R140" s="66"/>
    </row>
    <row r="141" spans="2:18" x14ac:dyDescent="0.55000000000000004">
      <c r="B141" s="66" t="s">
        <v>951</v>
      </c>
      <c r="C141" s="66"/>
      <c r="D141" s="66"/>
      <c r="E141" s="66"/>
      <c r="F141" s="66"/>
      <c r="G141" s="66"/>
      <c r="H141" s="66"/>
      <c r="I141" s="66"/>
      <c r="J141" s="66"/>
      <c r="K141" s="66"/>
      <c r="L141" s="66"/>
      <c r="M141" s="66"/>
      <c r="N141" s="66"/>
      <c r="O141" s="66"/>
      <c r="P141" s="66"/>
      <c r="Q141" s="66"/>
      <c r="R141" s="66"/>
    </row>
    <row r="142" spans="2:18" x14ac:dyDescent="0.55000000000000004">
      <c r="B142" s="66"/>
      <c r="C142" s="66"/>
      <c r="D142" s="66"/>
      <c r="E142" s="66"/>
      <c r="F142" s="66"/>
      <c r="G142" s="66"/>
      <c r="H142" s="66"/>
      <c r="I142" s="66"/>
      <c r="J142" s="66"/>
      <c r="K142" s="66"/>
      <c r="L142" s="66"/>
      <c r="M142" s="66"/>
      <c r="N142" s="66"/>
      <c r="O142" s="66"/>
      <c r="P142" s="66"/>
      <c r="Q142" s="66"/>
      <c r="R142" s="66"/>
    </row>
    <row r="143" spans="2:18" x14ac:dyDescent="0.55000000000000004">
      <c r="B143" s="66" t="s">
        <v>952</v>
      </c>
      <c r="C143" s="66"/>
      <c r="D143" s="66"/>
      <c r="E143" s="66"/>
      <c r="F143" s="66"/>
      <c r="G143" s="66"/>
      <c r="H143" s="66"/>
      <c r="I143" s="66"/>
      <c r="J143" s="66"/>
      <c r="K143" s="66"/>
      <c r="L143" s="66"/>
      <c r="M143" s="66"/>
      <c r="N143" s="66"/>
      <c r="O143" s="66"/>
      <c r="P143" s="66"/>
      <c r="Q143" s="66"/>
      <c r="R143" s="66"/>
    </row>
    <row r="144" spans="2:18" x14ac:dyDescent="0.55000000000000004">
      <c r="B144" s="66"/>
      <c r="C144" s="66"/>
      <c r="D144" s="66"/>
      <c r="E144" s="66"/>
      <c r="F144" s="66"/>
      <c r="G144" s="66"/>
      <c r="H144" s="66"/>
      <c r="I144" s="66"/>
      <c r="J144" s="66"/>
      <c r="K144" s="66"/>
      <c r="L144" s="66"/>
      <c r="M144" s="66"/>
      <c r="N144" s="66"/>
      <c r="O144" s="66"/>
      <c r="P144" s="66"/>
      <c r="Q144" s="66"/>
      <c r="R144" s="66"/>
    </row>
    <row r="145" spans="2:18" x14ac:dyDescent="0.55000000000000004">
      <c r="B145" s="68" t="s">
        <v>1011</v>
      </c>
      <c r="C145" s="87"/>
      <c r="D145" s="87"/>
      <c r="E145" s="87"/>
      <c r="F145" s="87"/>
      <c r="G145" s="68">
        <f>G2</f>
        <v>2022</v>
      </c>
      <c r="H145" s="68">
        <f t="shared" ref="H145:O145" si="79">H2</f>
        <v>2023</v>
      </c>
      <c r="I145" s="68">
        <f t="shared" si="79"/>
        <v>2024</v>
      </c>
      <c r="J145" s="68">
        <f t="shared" si="79"/>
        <v>2025</v>
      </c>
      <c r="K145" s="68">
        <f t="shared" si="79"/>
        <v>2026</v>
      </c>
      <c r="L145" s="68">
        <f t="shared" si="79"/>
        <v>2027</v>
      </c>
      <c r="M145" s="68">
        <f t="shared" si="79"/>
        <v>2028</v>
      </c>
      <c r="N145" s="68">
        <f t="shared" si="79"/>
        <v>2029</v>
      </c>
      <c r="O145" s="68">
        <f t="shared" si="79"/>
        <v>2030</v>
      </c>
      <c r="P145" s="66"/>
      <c r="Q145" s="66"/>
      <c r="R145" s="66"/>
    </row>
    <row r="146" spans="2:18" x14ac:dyDescent="0.55000000000000004">
      <c r="B146" s="66"/>
      <c r="C146" s="66"/>
      <c r="D146" s="66"/>
      <c r="E146" s="66"/>
      <c r="F146" s="66"/>
      <c r="G146" s="66"/>
      <c r="H146" s="66"/>
      <c r="I146" s="66"/>
      <c r="J146" s="66"/>
      <c r="K146" s="66"/>
      <c r="L146" s="66"/>
      <c r="M146" s="66"/>
      <c r="N146" s="66"/>
      <c r="O146" s="66"/>
      <c r="P146" s="66"/>
      <c r="Q146" s="66"/>
      <c r="R146" s="66"/>
    </row>
    <row r="147" spans="2:18" x14ac:dyDescent="0.55000000000000004">
      <c r="B147" s="66" t="s">
        <v>901</v>
      </c>
      <c r="C147" s="66"/>
      <c r="D147" s="66"/>
      <c r="E147" s="66"/>
      <c r="F147" s="66"/>
      <c r="G147" s="66"/>
      <c r="H147" s="66"/>
      <c r="I147" s="66"/>
      <c r="J147" s="66"/>
      <c r="K147" s="66"/>
      <c r="L147" s="66"/>
      <c r="M147" s="66"/>
      <c r="N147" s="66"/>
      <c r="O147" s="66"/>
      <c r="P147" s="66"/>
      <c r="Q147" s="66"/>
      <c r="R147" s="66"/>
    </row>
    <row r="148" spans="2:18" x14ac:dyDescent="0.55000000000000004">
      <c r="B148" s="66" t="s">
        <v>259</v>
      </c>
      <c r="C148" s="66"/>
      <c r="D148" s="66"/>
      <c r="E148" s="66"/>
      <c r="F148" s="66"/>
      <c r="G148" s="284">
        <v>74.599999999999994</v>
      </c>
      <c r="H148" s="284">
        <v>93.9</v>
      </c>
      <c r="I148" s="284">
        <v>111.35576923076924</v>
      </c>
      <c r="J148" s="284">
        <v>125.80192307692309</v>
      </c>
      <c r="K148" s="284">
        <v>137.84038461538464</v>
      </c>
      <c r="L148" s="284">
        <v>147.47115384615387</v>
      </c>
      <c r="M148" s="284">
        <v>154.09230769230771</v>
      </c>
      <c r="N148" s="284">
        <v>159.50961538461542</v>
      </c>
      <c r="O148" s="284">
        <v>163.72307692307695</v>
      </c>
      <c r="P148" s="66"/>
      <c r="Q148" s="66"/>
      <c r="R148" s="66"/>
    </row>
    <row r="149" spans="2:18" x14ac:dyDescent="0.55000000000000004">
      <c r="B149" s="66" t="s">
        <v>1014</v>
      </c>
      <c r="C149" s="66"/>
      <c r="D149" s="66"/>
      <c r="E149" s="66"/>
      <c r="F149" s="66"/>
      <c r="G149" s="140">
        <f>G3</f>
        <v>26.2</v>
      </c>
      <c r="H149" s="140">
        <f t="shared" ref="H149:O149" si="80">H3</f>
        <v>38</v>
      </c>
      <c r="I149" s="140">
        <f t="shared" si="80"/>
        <v>50</v>
      </c>
      <c r="J149" s="140">
        <f t="shared" si="80"/>
        <v>58</v>
      </c>
      <c r="K149" s="140">
        <f t="shared" si="80"/>
        <v>64</v>
      </c>
      <c r="L149" s="140">
        <f t="shared" si="80"/>
        <v>68</v>
      </c>
      <c r="M149" s="140">
        <f t="shared" si="80"/>
        <v>72</v>
      </c>
      <c r="N149" s="140">
        <f t="shared" si="80"/>
        <v>76</v>
      </c>
      <c r="O149" s="140">
        <f t="shared" si="80"/>
        <v>80</v>
      </c>
      <c r="P149" s="66"/>
      <c r="Q149" s="66"/>
      <c r="R149" s="66"/>
    </row>
    <row r="150" spans="2:18" x14ac:dyDescent="0.55000000000000004">
      <c r="B150" s="66"/>
      <c r="C150" s="66"/>
      <c r="D150" s="66"/>
      <c r="E150" s="66"/>
      <c r="F150" s="66"/>
      <c r="G150" s="66"/>
      <c r="H150" s="66"/>
      <c r="I150" s="66"/>
      <c r="J150" s="66"/>
      <c r="K150" s="66"/>
      <c r="L150" s="66"/>
      <c r="M150" s="66"/>
      <c r="N150" s="66"/>
      <c r="O150" s="66"/>
      <c r="P150" s="66"/>
      <c r="Q150" s="66"/>
      <c r="R150" s="66"/>
    </row>
    <row r="151" spans="2:18" x14ac:dyDescent="0.55000000000000004">
      <c r="B151" s="66" t="s">
        <v>1018</v>
      </c>
      <c r="C151" s="66"/>
      <c r="D151" s="66"/>
      <c r="E151" s="66"/>
      <c r="F151" s="66"/>
      <c r="G151" s="66"/>
      <c r="H151" s="66"/>
      <c r="I151" s="66"/>
      <c r="J151" s="66"/>
      <c r="K151" s="66"/>
      <c r="L151" s="66"/>
      <c r="M151" s="66"/>
      <c r="N151" s="66"/>
      <c r="O151" s="66"/>
      <c r="P151" s="66"/>
      <c r="Q151" s="66"/>
      <c r="R151" s="66"/>
    </row>
    <row r="152" spans="2:18" x14ac:dyDescent="0.55000000000000004">
      <c r="B152" s="66" t="str">
        <f>B148</f>
        <v>NU</v>
      </c>
      <c r="C152" s="66"/>
      <c r="D152" s="66"/>
      <c r="E152" s="66"/>
      <c r="F152" s="66"/>
      <c r="G152" s="221">
        <v>5.3509506255585348</v>
      </c>
      <c r="H152" s="221">
        <v>7.1246006389776353</v>
      </c>
      <c r="I152" s="221">
        <v>8.8524268379688102</v>
      </c>
      <c r="J152" s="221">
        <v>10.020669419920775</v>
      </c>
      <c r="K152" s="221">
        <v>11.034418219633039</v>
      </c>
      <c r="L152" s="221">
        <v>11.717672788360064</v>
      </c>
      <c r="M152" s="221">
        <v>12.849534484935491</v>
      </c>
      <c r="N152" s="221">
        <v>13.965418171028304</v>
      </c>
      <c r="O152" s="221">
        <v>14.986313068731439</v>
      </c>
      <c r="P152" s="66"/>
      <c r="Q152" s="66"/>
      <c r="R152" s="66"/>
    </row>
    <row r="153" spans="2:18" x14ac:dyDescent="0.55000000000000004">
      <c r="B153" s="66" t="str">
        <f>B149</f>
        <v>Revolut</v>
      </c>
      <c r="C153" s="66"/>
      <c r="D153" s="66"/>
      <c r="E153" s="66"/>
      <c r="F153" s="66"/>
      <c r="G153" s="133">
        <f>G21</f>
        <v>0</v>
      </c>
      <c r="H153" s="133">
        <f t="shared" ref="H153:O153" si="81">H21</f>
        <v>5.7879543094496366</v>
      </c>
      <c r="I153" s="133">
        <f t="shared" si="81"/>
        <v>5.9308612188408576</v>
      </c>
      <c r="J153" s="133">
        <f t="shared" si="81"/>
        <v>5.7938412510721866</v>
      </c>
      <c r="K153" s="133">
        <f t="shared" si="81"/>
        <v>5.7945781426653991</v>
      </c>
      <c r="L153" s="133">
        <f t="shared" si="81"/>
        <v>5.8314449984353356</v>
      </c>
      <c r="M153" s="133">
        <f t="shared" si="81"/>
        <v>6.0907090705882512</v>
      </c>
      <c r="N153" s="133">
        <f t="shared" si="81"/>
        <v>6.4790618525104087</v>
      </c>
      <c r="O153" s="133">
        <f t="shared" si="81"/>
        <v>6.6167727517649597</v>
      </c>
      <c r="P153" s="66"/>
      <c r="Q153" s="66"/>
      <c r="R153" s="66"/>
    </row>
    <row r="154" spans="2:18" x14ac:dyDescent="0.55000000000000004">
      <c r="B154" s="66"/>
      <c r="C154" s="66"/>
      <c r="D154" s="66"/>
      <c r="E154" s="66"/>
      <c r="F154" s="66"/>
      <c r="G154" s="66"/>
      <c r="H154" s="66"/>
      <c r="I154" s="66"/>
      <c r="J154" s="66"/>
      <c r="K154" s="66"/>
      <c r="L154" s="66"/>
      <c r="M154" s="66"/>
      <c r="N154" s="66"/>
      <c r="O154" s="66"/>
      <c r="P154" s="66"/>
      <c r="Q154" s="66"/>
      <c r="R154" s="66"/>
    </row>
    <row r="155" spans="2:18" x14ac:dyDescent="0.55000000000000004">
      <c r="B155" s="66" t="s">
        <v>1012</v>
      </c>
      <c r="C155" s="66"/>
      <c r="D155" s="66"/>
      <c r="E155" s="66"/>
      <c r="F155" s="66"/>
      <c r="G155" s="66"/>
      <c r="H155" s="66"/>
      <c r="I155" s="66"/>
      <c r="J155" s="66"/>
      <c r="K155" s="66"/>
      <c r="L155" s="66"/>
      <c r="M155" s="66"/>
      <c r="N155" s="66"/>
      <c r="O155" s="66"/>
      <c r="P155" s="66"/>
      <c r="Q155" s="66"/>
      <c r="R155" s="66"/>
    </row>
    <row r="156" spans="2:18" x14ac:dyDescent="0.55000000000000004">
      <c r="B156" s="66" t="s">
        <v>259</v>
      </c>
      <c r="C156" s="66"/>
      <c r="D156" s="66"/>
      <c r="E156" s="66"/>
      <c r="F156" s="66"/>
      <c r="G156" s="286">
        <v>3.1940404632736494E-2</v>
      </c>
      <c r="H156" s="286">
        <v>1.9940404632736494E-2</v>
      </c>
      <c r="I156" s="286">
        <v>1.9940404632736494E-2</v>
      </c>
      <c r="J156" s="286">
        <v>1.9940404632736494E-2</v>
      </c>
      <c r="K156" s="286">
        <v>1.9940404632736494E-2</v>
      </c>
      <c r="L156" s="286">
        <v>1.9940404632736494E-2</v>
      </c>
      <c r="M156" s="286">
        <v>1.9940404632736494E-2</v>
      </c>
      <c r="N156" s="286">
        <v>1.9940404632736494E-2</v>
      </c>
      <c r="O156" s="286">
        <v>1.9940404632736494E-2</v>
      </c>
      <c r="P156" s="66"/>
      <c r="Q156" s="66"/>
      <c r="R156" s="66"/>
    </row>
    <row r="157" spans="2:18" x14ac:dyDescent="0.55000000000000004">
      <c r="B157" s="66" t="s">
        <v>1014</v>
      </c>
      <c r="C157" s="66"/>
      <c r="D157" s="66"/>
      <c r="E157" s="66"/>
      <c r="F157" s="66"/>
      <c r="G157" s="171">
        <f>G118/G16</f>
        <v>0.14008667388949081</v>
      </c>
      <c r="H157" s="171">
        <f t="shared" ref="H157:O157" si="82">H118/H16</f>
        <v>0.13420467185761958</v>
      </c>
      <c r="I157" s="171">
        <f t="shared" si="82"/>
        <v>0.13420467185761958</v>
      </c>
      <c r="J157" s="171">
        <f t="shared" si="82"/>
        <v>0.11</v>
      </c>
      <c r="K157" s="171">
        <f t="shared" si="82"/>
        <v>0.08</v>
      </c>
      <c r="L157" s="171">
        <f t="shared" si="82"/>
        <v>0.06</v>
      </c>
      <c r="M157" s="171">
        <f t="shared" si="82"/>
        <v>0.05</v>
      </c>
      <c r="N157" s="171">
        <f t="shared" si="82"/>
        <v>0.05</v>
      </c>
      <c r="O157" s="171">
        <f t="shared" si="82"/>
        <v>0.05</v>
      </c>
      <c r="P157" s="66"/>
      <c r="Q157" s="66"/>
      <c r="R157" s="66"/>
    </row>
    <row r="158" spans="2:18" x14ac:dyDescent="0.55000000000000004">
      <c r="B158" s="66"/>
      <c r="C158" s="66"/>
      <c r="D158" s="66"/>
      <c r="E158" s="66"/>
      <c r="F158" s="66"/>
      <c r="G158" s="66"/>
      <c r="H158" s="66"/>
      <c r="I158" s="66"/>
      <c r="J158" s="66"/>
      <c r="K158" s="66"/>
      <c r="L158" s="66"/>
      <c r="M158" s="66"/>
      <c r="N158" s="66"/>
      <c r="O158" s="66"/>
      <c r="P158" s="66"/>
      <c r="Q158" s="66"/>
      <c r="R158" s="66"/>
    </row>
    <row r="159" spans="2:18" x14ac:dyDescent="0.55000000000000004">
      <c r="B159" s="66" t="s">
        <v>1013</v>
      </c>
      <c r="C159" s="66"/>
      <c r="D159" s="66"/>
      <c r="E159" s="66"/>
      <c r="F159" s="66"/>
      <c r="G159" s="66"/>
      <c r="H159" s="66"/>
      <c r="I159" s="66"/>
      <c r="J159" s="66"/>
      <c r="K159" s="66"/>
      <c r="L159" s="66"/>
      <c r="M159" s="66"/>
      <c r="N159" s="66"/>
      <c r="O159" s="66"/>
      <c r="P159" s="66"/>
      <c r="Q159" s="66"/>
      <c r="R159" s="66"/>
    </row>
    <row r="160" spans="2:18" x14ac:dyDescent="0.55000000000000004">
      <c r="B160" s="66" t="str">
        <f>B156</f>
        <v>NU</v>
      </c>
      <c r="C160" s="66"/>
      <c r="D160" s="66"/>
      <c r="E160" s="66"/>
      <c r="F160" s="66"/>
      <c r="G160" s="285">
        <v>0.2933089445032338</v>
      </c>
      <c r="H160" s="285">
        <v>0.28462879920279022</v>
      </c>
      <c r="I160" s="285">
        <v>0.31451636188410687</v>
      </c>
      <c r="J160" s="285">
        <v>0.29235989776801347</v>
      </c>
      <c r="K160" s="285">
        <v>0.25129025994984966</v>
      </c>
      <c r="L160" s="285">
        <v>0.23991517586646521</v>
      </c>
      <c r="M160" s="285">
        <v>0.21597128048392461</v>
      </c>
      <c r="N160" s="285">
        <v>0.20817953669281392</v>
      </c>
      <c r="O160" s="285">
        <v>0.19619139740314259</v>
      </c>
      <c r="P160" s="66"/>
      <c r="Q160" s="66"/>
      <c r="R160" s="66"/>
    </row>
    <row r="161" spans="2:18" x14ac:dyDescent="0.55000000000000004">
      <c r="B161" s="66" t="str">
        <f>B157</f>
        <v>Revolut</v>
      </c>
      <c r="C161" s="66"/>
      <c r="D161" s="66"/>
      <c r="E161" s="66"/>
      <c r="F161" s="66"/>
      <c r="G161" s="134">
        <f>G97/G16</f>
        <v>5.6338028169014088E-3</v>
      </c>
      <c r="H161" s="134">
        <f t="shared" ref="H161:O161" si="83">H97/H16</f>
        <v>1.7575083426028922E-2</v>
      </c>
      <c r="I161" s="134">
        <f t="shared" si="83"/>
        <v>2.7938302192799167E-2</v>
      </c>
      <c r="J161" s="134">
        <f t="shared" si="83"/>
        <v>4.8293545854083166E-2</v>
      </c>
      <c r="K161" s="134">
        <f t="shared" si="83"/>
        <v>5.9994704351053328E-2</v>
      </c>
      <c r="L161" s="134">
        <f t="shared" si="83"/>
        <v>4.8211707179023962E-2</v>
      </c>
      <c r="M161" s="134">
        <f t="shared" si="83"/>
        <v>3.9169609639271429E-2</v>
      </c>
      <c r="N161" s="134">
        <f t="shared" si="83"/>
        <v>3.0408390461866362E-2</v>
      </c>
      <c r="O161" s="134">
        <f t="shared" si="83"/>
        <v>2.6707738234056901E-2</v>
      </c>
      <c r="P161" s="66"/>
      <c r="Q161" s="66"/>
      <c r="R161" s="66"/>
    </row>
    <row r="162" spans="2:18" x14ac:dyDescent="0.55000000000000004">
      <c r="B162" s="66"/>
      <c r="C162" s="66"/>
      <c r="D162" s="66"/>
      <c r="E162" s="66"/>
      <c r="F162" s="66"/>
      <c r="G162" s="66"/>
      <c r="H162" s="66"/>
      <c r="I162" s="66"/>
      <c r="J162" s="66"/>
      <c r="K162" s="66"/>
      <c r="L162" s="66"/>
      <c r="M162" s="66"/>
      <c r="N162" s="66"/>
      <c r="O162" s="66"/>
      <c r="P162" s="66"/>
      <c r="Q162" s="66"/>
      <c r="R162" s="66"/>
    </row>
    <row r="163" spans="2:18" x14ac:dyDescent="0.55000000000000004">
      <c r="B163" s="66" t="s">
        <v>178</v>
      </c>
      <c r="C163" s="66"/>
      <c r="D163" s="66"/>
      <c r="E163" s="66"/>
      <c r="F163" s="66"/>
      <c r="G163" s="66"/>
      <c r="H163" s="66"/>
      <c r="I163" s="66"/>
      <c r="J163" s="66"/>
      <c r="K163" s="66"/>
      <c r="L163" s="66"/>
      <c r="M163" s="66"/>
      <c r="N163" s="66"/>
      <c r="O163" s="66"/>
      <c r="P163" s="66"/>
      <c r="Q163" s="66"/>
      <c r="R163" s="66"/>
    </row>
    <row r="164" spans="2:18" x14ac:dyDescent="0.55000000000000004">
      <c r="B164" s="66" t="str">
        <f>B160</f>
        <v>NU</v>
      </c>
      <c r="C164" s="66"/>
      <c r="D164" s="66"/>
      <c r="E164" s="66"/>
      <c r="F164" s="66"/>
      <c r="G164" s="285">
        <v>0.34720493276753589</v>
      </c>
      <c r="H164" s="285">
        <v>0.4349775784753363</v>
      </c>
      <c r="I164" s="285">
        <v>0.42548384088800878</v>
      </c>
      <c r="J164" s="285">
        <v>0.47043160268505435</v>
      </c>
      <c r="K164" s="285">
        <v>0.52086432354725742</v>
      </c>
      <c r="L164" s="285">
        <v>0.53578505239391971</v>
      </c>
      <c r="M164" s="285">
        <v>0.56186540197918322</v>
      </c>
      <c r="N164" s="285">
        <v>0.57021723094871357</v>
      </c>
      <c r="O164" s="285">
        <v>0.57946192553165943</v>
      </c>
      <c r="P164" s="66"/>
      <c r="Q164" s="66"/>
      <c r="R164" s="66"/>
    </row>
    <row r="165" spans="2:18" x14ac:dyDescent="0.55000000000000004">
      <c r="B165" s="66" t="str">
        <f>B161</f>
        <v>Revolut</v>
      </c>
      <c r="C165" s="66"/>
      <c r="D165" s="66"/>
      <c r="E165" s="66"/>
      <c r="F165" s="66"/>
      <c r="G165" s="134">
        <f>G108</f>
        <v>0.69602925243770308</v>
      </c>
      <c r="H165" s="134">
        <f t="shared" ref="H165:O165" si="84">H108</f>
        <v>0.76223971078976649</v>
      </c>
      <c r="I165" s="134">
        <f t="shared" si="84"/>
        <v>0.69461660254409907</v>
      </c>
      <c r="J165" s="134">
        <f t="shared" si="84"/>
        <v>0.65159193224998535</v>
      </c>
      <c r="K165" s="134">
        <f t="shared" si="84"/>
        <v>0.62148666832000921</v>
      </c>
      <c r="L165" s="134">
        <f t="shared" si="84"/>
        <v>0.59803556406792779</v>
      </c>
      <c r="M165" s="134">
        <f t="shared" si="84"/>
        <v>0.61795274715197768</v>
      </c>
      <c r="N165" s="134">
        <f t="shared" si="84"/>
        <v>0.64137554793979712</v>
      </c>
      <c r="O165" s="134">
        <f t="shared" si="84"/>
        <v>0.64986188784013676</v>
      </c>
      <c r="P165" s="66"/>
      <c r="Q165" s="66"/>
      <c r="R165" s="66"/>
    </row>
    <row r="166" spans="2:18" x14ac:dyDescent="0.55000000000000004">
      <c r="B166" s="66"/>
      <c r="C166" s="66"/>
      <c r="D166" s="66"/>
      <c r="E166" s="66"/>
      <c r="F166" s="66"/>
      <c r="G166" s="66"/>
      <c r="H166" s="66"/>
      <c r="I166" s="66"/>
      <c r="J166" s="66"/>
      <c r="K166" s="66"/>
      <c r="L166" s="66"/>
      <c r="M166" s="66"/>
      <c r="N166" s="66"/>
      <c r="O166" s="66"/>
      <c r="P166" s="66"/>
      <c r="Q166" s="66"/>
      <c r="R166" s="66"/>
    </row>
    <row r="167" spans="2:18" x14ac:dyDescent="0.55000000000000004">
      <c r="B167" s="66" t="s">
        <v>1019</v>
      </c>
      <c r="C167" s="66"/>
      <c r="D167" s="66"/>
      <c r="E167" s="66"/>
      <c r="F167" s="66"/>
      <c r="G167" s="66"/>
      <c r="H167" s="66"/>
      <c r="I167" s="66"/>
      <c r="J167" s="66"/>
      <c r="K167" s="66"/>
      <c r="L167" s="66"/>
      <c r="M167" s="66"/>
      <c r="N167" s="66"/>
      <c r="O167" s="66"/>
      <c r="P167" s="66"/>
      <c r="Q167" s="66"/>
      <c r="R167" s="66"/>
    </row>
    <row r="168" spans="2:18" x14ac:dyDescent="0.55000000000000004">
      <c r="B168" s="66" t="str">
        <f>B164</f>
        <v>NU</v>
      </c>
      <c r="C168" s="66"/>
      <c r="D168" s="66"/>
      <c r="E168" s="66"/>
      <c r="F168" s="66"/>
      <c r="G168" s="66"/>
      <c r="H168" s="66"/>
      <c r="I168" s="66"/>
      <c r="J168" s="66"/>
      <c r="K168" s="66"/>
      <c r="L168" s="66"/>
      <c r="M168" s="66"/>
      <c r="N168" s="66"/>
      <c r="O168" s="66"/>
      <c r="P168" s="66"/>
      <c r="Q168" s="66"/>
      <c r="R168" s="66"/>
    </row>
    <row r="169" spans="2:18" x14ac:dyDescent="0.55000000000000004">
      <c r="B169" s="66" t="str">
        <f>B165</f>
        <v>Revolut</v>
      </c>
      <c r="C169" s="66"/>
      <c r="D169" s="66"/>
      <c r="E169" s="66"/>
      <c r="F169" s="66"/>
      <c r="G169" s="140">
        <f>G3*1000000/G113</f>
        <v>4430.9149331980379</v>
      </c>
      <c r="H169" s="140">
        <f t="shared" ref="H169:O169" si="85">H3*1000000/H113</f>
        <v>4661.4327772325805</v>
      </c>
      <c r="I169" s="140">
        <f t="shared" si="85"/>
        <v>4925.1379038613077</v>
      </c>
      <c r="J169" s="140">
        <f t="shared" si="85"/>
        <v>4977.6862341228971</v>
      </c>
      <c r="K169" s="140">
        <f t="shared" si="85"/>
        <v>5058.4887764780269</v>
      </c>
      <c r="L169" s="140">
        <f t="shared" si="85"/>
        <v>4980.9551714034569</v>
      </c>
      <c r="M169" s="140">
        <f t="shared" si="85"/>
        <v>4914.0049140049141</v>
      </c>
      <c r="N169" s="140">
        <f t="shared" si="85"/>
        <v>4855.6095067722972</v>
      </c>
      <c r="O169" s="140">
        <f t="shared" si="85"/>
        <v>4804.2277203939466</v>
      </c>
      <c r="P169" s="66"/>
      <c r="Q169" s="66"/>
      <c r="R169" s="66"/>
    </row>
    <row r="170" spans="2:18" x14ac:dyDescent="0.55000000000000004">
      <c r="B170" s="66"/>
      <c r="C170" s="66"/>
      <c r="D170" s="66"/>
      <c r="E170" s="66"/>
      <c r="F170" s="66"/>
      <c r="G170" s="66"/>
      <c r="H170" s="66"/>
      <c r="I170" s="66"/>
      <c r="J170" s="66"/>
      <c r="K170" s="66"/>
      <c r="L170" s="66"/>
      <c r="M170" s="66"/>
      <c r="N170" s="66"/>
      <c r="O170" s="66"/>
      <c r="P170" s="66"/>
      <c r="Q170" s="66"/>
      <c r="R170" s="66"/>
    </row>
    <row r="171" spans="2:18" x14ac:dyDescent="0.55000000000000004">
      <c r="B171" s="66" t="s">
        <v>1020</v>
      </c>
      <c r="C171" s="66"/>
      <c r="D171" s="66"/>
      <c r="E171" s="66"/>
      <c r="F171" s="66"/>
      <c r="G171" s="66"/>
      <c r="H171" s="66"/>
      <c r="I171" s="66"/>
      <c r="J171" s="66"/>
      <c r="K171" s="66"/>
      <c r="L171" s="66"/>
      <c r="M171" s="66"/>
      <c r="N171" s="66"/>
      <c r="O171" s="66"/>
      <c r="P171" s="66"/>
      <c r="Q171" s="66"/>
      <c r="R171" s="66"/>
    </row>
    <row r="172" spans="2:18" x14ac:dyDescent="0.55000000000000004">
      <c r="B172" s="66" t="str">
        <f>B168</f>
        <v>NU</v>
      </c>
      <c r="C172" s="66"/>
      <c r="D172" s="66"/>
      <c r="E172" s="66"/>
      <c r="F172" s="66"/>
      <c r="G172" s="66"/>
      <c r="H172" s="66"/>
      <c r="I172" s="66"/>
      <c r="J172" s="66"/>
      <c r="K172" s="66"/>
      <c r="L172" s="66"/>
      <c r="M172" s="66"/>
      <c r="N172" s="66"/>
      <c r="O172" s="66"/>
      <c r="P172" s="66"/>
      <c r="Q172" s="66"/>
      <c r="R172" s="66"/>
    </row>
    <row r="173" spans="2:18" x14ac:dyDescent="0.55000000000000004">
      <c r="B173" s="66" t="str">
        <f>B169</f>
        <v>Revolut</v>
      </c>
      <c r="C173" s="66"/>
      <c r="D173" s="66"/>
      <c r="E173" s="66"/>
      <c r="F173" s="66"/>
      <c r="G173" s="134">
        <f>G134</f>
        <v>-6.0417118093174495E-2</v>
      </c>
      <c r="H173" s="134">
        <f t="shared" ref="H173:O173" si="86">H134</f>
        <v>0.1913275862068966</v>
      </c>
      <c r="I173" s="134">
        <f t="shared" si="86"/>
        <v>0.14921747145859313</v>
      </c>
      <c r="J173" s="134">
        <f t="shared" si="86"/>
        <v>0.12881897263269829</v>
      </c>
      <c r="K173" s="134">
        <f t="shared" si="86"/>
        <v>0.12439587607443435</v>
      </c>
      <c r="L173" s="134">
        <f t="shared" si="86"/>
        <v>0.11520566549779389</v>
      </c>
      <c r="M173" s="134">
        <f t="shared" si="86"/>
        <v>0.13769185662215133</v>
      </c>
      <c r="N173" s="134">
        <f t="shared" si="86"/>
        <v>0.16010990469986972</v>
      </c>
      <c r="O173" s="134">
        <f t="shared" si="86"/>
        <v>0.16061726043236246</v>
      </c>
      <c r="P173" s="66"/>
      <c r="Q173" s="66"/>
      <c r="R173" s="66"/>
    </row>
    <row r="174" spans="2:18" x14ac:dyDescent="0.55000000000000004">
      <c r="B174" s="66"/>
      <c r="C174" s="66"/>
      <c r="D174" s="66"/>
      <c r="E174" s="66"/>
      <c r="F174" s="66"/>
      <c r="G174" s="66"/>
      <c r="H174" s="66"/>
      <c r="I174" s="66"/>
      <c r="J174" s="66"/>
      <c r="K174" s="66"/>
      <c r="L174" s="66"/>
      <c r="M174" s="66"/>
      <c r="N174" s="66"/>
      <c r="O174" s="66"/>
      <c r="P174" s="66"/>
      <c r="Q174" s="66"/>
      <c r="R174" s="66"/>
    </row>
    <row r="175" spans="2:18" x14ac:dyDescent="0.55000000000000004">
      <c r="B175" s="66"/>
      <c r="C175" s="66"/>
      <c r="D175" s="66"/>
      <c r="E175" s="66"/>
      <c r="F175" s="66"/>
      <c r="G175" s="66"/>
      <c r="H175" s="66"/>
      <c r="I175" s="66"/>
      <c r="J175" s="66"/>
      <c r="K175" s="66"/>
      <c r="L175" s="66"/>
      <c r="M175" s="66"/>
      <c r="N175" s="66"/>
      <c r="O175" s="66"/>
      <c r="P175" s="66"/>
      <c r="Q175" s="66"/>
      <c r="R175" s="66"/>
    </row>
    <row r="176" spans="2:18" x14ac:dyDescent="0.55000000000000004">
      <c r="B176" s="66"/>
      <c r="C176" s="66"/>
      <c r="D176" s="66"/>
      <c r="E176" s="66"/>
      <c r="F176" s="66"/>
      <c r="G176" s="66"/>
      <c r="H176" s="66"/>
      <c r="I176" s="66"/>
      <c r="J176" s="66"/>
      <c r="K176" s="66"/>
      <c r="L176" s="66"/>
      <c r="M176" s="66"/>
      <c r="N176" s="66"/>
      <c r="O176" s="66"/>
      <c r="P176" s="66"/>
      <c r="Q176" s="66"/>
      <c r="R176" s="66"/>
    </row>
    <row r="177" spans="2:18" x14ac:dyDescent="0.55000000000000004">
      <c r="B177" s="66"/>
      <c r="C177" s="66"/>
      <c r="D177" s="66"/>
      <c r="E177" s="66"/>
      <c r="F177" s="66"/>
      <c r="G177" s="66"/>
      <c r="H177" s="66"/>
      <c r="I177" s="66"/>
      <c r="J177" s="66"/>
      <c r="K177" s="66"/>
      <c r="L177" s="66"/>
      <c r="M177" s="66"/>
      <c r="N177" s="66"/>
      <c r="O177" s="66"/>
      <c r="P177" s="66"/>
      <c r="Q177" s="66"/>
      <c r="R177" s="66"/>
    </row>
    <row r="178" spans="2:18" x14ac:dyDescent="0.55000000000000004">
      <c r="B178" s="66"/>
      <c r="C178" s="66"/>
      <c r="D178" s="66"/>
      <c r="E178" s="66"/>
      <c r="F178" s="66"/>
      <c r="G178" s="66"/>
      <c r="H178" s="66"/>
      <c r="I178" s="66"/>
      <c r="J178" s="66"/>
      <c r="K178" s="66"/>
      <c r="L178" s="66"/>
      <c r="M178" s="66"/>
      <c r="N178" s="66"/>
      <c r="O178" s="66"/>
      <c r="P178" s="66"/>
      <c r="Q178" s="66"/>
      <c r="R178" s="66"/>
    </row>
    <row r="179" spans="2:18" x14ac:dyDescent="0.55000000000000004">
      <c r="B179" s="66"/>
      <c r="C179" s="66"/>
      <c r="D179" s="66"/>
      <c r="E179" s="66"/>
      <c r="F179" s="66"/>
      <c r="G179" s="66"/>
      <c r="H179" s="66"/>
      <c r="I179" s="66"/>
      <c r="J179" s="66"/>
      <c r="K179" s="66"/>
      <c r="L179" s="66"/>
      <c r="M179" s="66"/>
      <c r="N179" s="66"/>
      <c r="O179" s="66"/>
      <c r="P179" s="66"/>
      <c r="Q179" s="66"/>
      <c r="R179" s="66"/>
    </row>
    <row r="180" spans="2:18" x14ac:dyDescent="0.55000000000000004">
      <c r="B180" s="66"/>
      <c r="C180" s="66"/>
      <c r="D180" s="66"/>
      <c r="E180" s="66"/>
      <c r="F180" s="66"/>
      <c r="G180" s="66"/>
      <c r="H180" s="66"/>
      <c r="I180" s="66"/>
      <c r="J180" s="66"/>
      <c r="K180" s="66"/>
      <c r="L180" s="66"/>
      <c r="M180" s="66"/>
      <c r="N180" s="66"/>
      <c r="O180" s="66"/>
      <c r="P180" s="66"/>
      <c r="Q180" s="66"/>
      <c r="R180" s="66"/>
    </row>
    <row r="181" spans="2:18" x14ac:dyDescent="0.55000000000000004">
      <c r="B181" s="66"/>
      <c r="C181" s="66"/>
      <c r="D181" s="66"/>
      <c r="E181" s="66"/>
      <c r="F181" s="66"/>
      <c r="G181" s="66"/>
      <c r="H181" s="66"/>
      <c r="I181" s="66"/>
      <c r="J181" s="66"/>
      <c r="K181" s="66"/>
      <c r="L181" s="66"/>
      <c r="M181" s="66"/>
      <c r="N181" s="66"/>
      <c r="O181" s="66"/>
      <c r="P181" s="66"/>
      <c r="Q181" s="66"/>
      <c r="R181" s="66"/>
    </row>
    <row r="182" spans="2:18" x14ac:dyDescent="0.55000000000000004">
      <c r="B182" s="66"/>
      <c r="C182" s="66"/>
      <c r="D182" s="66"/>
      <c r="E182" s="66"/>
      <c r="F182" s="66"/>
      <c r="G182" s="66"/>
      <c r="H182" s="66"/>
      <c r="I182" s="66"/>
      <c r="J182" s="66"/>
      <c r="K182" s="66"/>
      <c r="L182" s="66"/>
      <c r="M182" s="66"/>
      <c r="N182" s="66"/>
      <c r="O182" s="66"/>
      <c r="P182" s="66"/>
      <c r="Q182" s="66"/>
      <c r="R182" s="66"/>
    </row>
    <row r="183" spans="2:18" x14ac:dyDescent="0.55000000000000004">
      <c r="B183" s="66"/>
      <c r="C183" s="66"/>
      <c r="D183" s="66"/>
      <c r="E183" s="66"/>
      <c r="F183" s="66"/>
      <c r="G183" s="66"/>
      <c r="H183" s="66"/>
      <c r="I183" s="66"/>
      <c r="J183" s="66"/>
      <c r="K183" s="66"/>
      <c r="L183" s="66"/>
      <c r="M183" s="66"/>
      <c r="N183" s="66"/>
      <c r="O183" s="66"/>
      <c r="P183" s="66"/>
      <c r="Q183" s="66"/>
      <c r="R183" s="66"/>
    </row>
    <row r="184" spans="2:18" x14ac:dyDescent="0.55000000000000004">
      <c r="B184" s="66"/>
      <c r="C184" s="66"/>
      <c r="D184" s="66"/>
      <c r="E184" s="66"/>
      <c r="F184" s="66"/>
      <c r="G184" s="66"/>
      <c r="H184" s="66"/>
      <c r="I184" s="66"/>
      <c r="J184" s="66"/>
      <c r="K184" s="66"/>
      <c r="L184" s="66"/>
      <c r="M184" s="66"/>
      <c r="N184" s="66"/>
      <c r="O184" s="66"/>
      <c r="P184" s="66"/>
      <c r="Q184" s="66"/>
      <c r="R184" s="66"/>
    </row>
    <row r="185" spans="2:18" x14ac:dyDescent="0.55000000000000004">
      <c r="B185" s="66"/>
      <c r="C185" s="66"/>
      <c r="D185" s="66"/>
      <c r="E185" s="66"/>
      <c r="F185" s="66"/>
      <c r="G185" s="66"/>
      <c r="H185" s="66"/>
      <c r="I185" s="66"/>
      <c r="J185" s="66"/>
      <c r="K185" s="66"/>
      <c r="L185" s="66"/>
      <c r="M185" s="66"/>
      <c r="N185" s="66"/>
      <c r="O185" s="66"/>
      <c r="P185" s="66"/>
      <c r="Q185" s="66"/>
      <c r="R185" s="66"/>
    </row>
    <row r="186" spans="2:18" x14ac:dyDescent="0.55000000000000004">
      <c r="B186" s="66"/>
      <c r="C186" s="66"/>
      <c r="D186" s="66"/>
      <c r="E186" s="66"/>
      <c r="F186" s="66"/>
      <c r="G186" s="66"/>
      <c r="H186" s="66"/>
      <c r="I186" s="66"/>
      <c r="J186" s="66"/>
      <c r="K186" s="66"/>
      <c r="L186" s="66"/>
      <c r="M186" s="66"/>
      <c r="N186" s="66"/>
      <c r="O186" s="66"/>
      <c r="P186" s="66"/>
      <c r="Q186" s="66"/>
      <c r="R186" s="66"/>
    </row>
    <row r="187" spans="2:18" x14ac:dyDescent="0.55000000000000004">
      <c r="B187" s="66"/>
      <c r="C187" s="66"/>
      <c r="D187" s="66"/>
      <c r="E187" s="66"/>
      <c r="F187" s="66"/>
      <c r="G187" s="66"/>
      <c r="H187" s="66"/>
      <c r="I187" s="66"/>
      <c r="J187" s="66"/>
      <c r="K187" s="66"/>
      <c r="L187" s="66"/>
      <c r="M187" s="66"/>
      <c r="N187" s="66"/>
      <c r="O187" s="66"/>
      <c r="P187" s="66"/>
      <c r="Q187" s="66"/>
      <c r="R187" s="66"/>
    </row>
    <row r="188" spans="2:18" x14ac:dyDescent="0.55000000000000004">
      <c r="B188" s="66"/>
      <c r="C188" s="66"/>
      <c r="D188" s="66"/>
      <c r="E188" s="66"/>
      <c r="F188" s="66"/>
      <c r="G188" s="66"/>
      <c r="H188" s="66"/>
      <c r="I188" s="66"/>
      <c r="J188" s="66"/>
      <c r="K188" s="66"/>
      <c r="L188" s="66"/>
      <c r="M188" s="66"/>
      <c r="N188" s="66"/>
      <c r="O188" s="66"/>
      <c r="P188" s="66"/>
      <c r="Q188" s="66"/>
      <c r="R188" s="66"/>
    </row>
    <row r="189" spans="2:18" x14ac:dyDescent="0.55000000000000004">
      <c r="B189" s="66"/>
      <c r="C189" s="66"/>
      <c r="D189" s="66"/>
      <c r="E189" s="66"/>
      <c r="F189" s="66"/>
      <c r="G189" s="66"/>
      <c r="H189" s="66"/>
      <c r="I189" s="66"/>
      <c r="J189" s="66"/>
      <c r="K189" s="66"/>
      <c r="L189" s="66"/>
      <c r="M189" s="66"/>
      <c r="N189" s="66"/>
      <c r="O189" s="66"/>
      <c r="P189" s="66"/>
      <c r="Q189" s="66"/>
      <c r="R189" s="66"/>
    </row>
    <row r="190" spans="2:18" x14ac:dyDescent="0.55000000000000004">
      <c r="B190" s="66"/>
      <c r="C190" s="66"/>
      <c r="D190" s="66"/>
      <c r="E190" s="66"/>
      <c r="F190" s="66"/>
      <c r="G190" s="66"/>
      <c r="H190" s="66"/>
      <c r="I190" s="66"/>
      <c r="J190" s="66"/>
      <c r="K190" s="66"/>
      <c r="L190" s="66"/>
      <c r="M190" s="66"/>
      <c r="N190" s="66"/>
      <c r="O190" s="66"/>
      <c r="P190" s="66"/>
      <c r="Q190" s="66"/>
      <c r="R190" s="66"/>
    </row>
    <row r="191" spans="2:18" x14ac:dyDescent="0.55000000000000004">
      <c r="B191" s="66"/>
      <c r="C191" s="66"/>
      <c r="D191" s="66"/>
      <c r="E191" s="66"/>
      <c r="F191" s="66"/>
      <c r="G191" s="66"/>
      <c r="H191" s="66"/>
      <c r="I191" s="66"/>
      <c r="J191" s="66"/>
      <c r="K191" s="66"/>
      <c r="L191" s="66"/>
      <c r="M191" s="66"/>
      <c r="N191" s="66"/>
      <c r="O191" s="66"/>
      <c r="P191" s="66"/>
      <c r="Q191" s="66"/>
      <c r="R191" s="66"/>
    </row>
    <row r="192" spans="2:18" x14ac:dyDescent="0.55000000000000004">
      <c r="B192" s="66"/>
      <c r="C192" s="66"/>
      <c r="D192" s="66"/>
      <c r="E192" s="66"/>
      <c r="F192" s="66"/>
      <c r="G192" s="66"/>
      <c r="H192" s="66"/>
      <c r="I192" s="66"/>
      <c r="J192" s="66"/>
      <c r="K192" s="66"/>
      <c r="L192" s="66"/>
      <c r="M192" s="66"/>
      <c r="N192" s="66"/>
      <c r="O192" s="66"/>
      <c r="P192" s="66"/>
      <c r="Q192" s="66"/>
      <c r="R192" s="66"/>
    </row>
    <row r="193" spans="2:18" x14ac:dyDescent="0.55000000000000004">
      <c r="B193" s="66"/>
      <c r="C193" s="66"/>
      <c r="D193" s="66"/>
      <c r="E193" s="66"/>
      <c r="F193" s="66"/>
      <c r="G193" s="66"/>
      <c r="H193" s="66"/>
      <c r="I193" s="66"/>
      <c r="J193" s="66"/>
      <c r="K193" s="66"/>
      <c r="L193" s="66"/>
      <c r="M193" s="66"/>
      <c r="N193" s="66"/>
      <c r="O193" s="66"/>
      <c r="P193" s="66"/>
      <c r="Q193" s="66"/>
      <c r="R193" s="66"/>
    </row>
    <row r="194" spans="2:18" x14ac:dyDescent="0.55000000000000004">
      <c r="B194" s="66"/>
      <c r="C194" s="66"/>
      <c r="D194" s="66"/>
      <c r="E194" s="66"/>
      <c r="F194" s="66"/>
      <c r="G194" s="66"/>
      <c r="H194" s="66"/>
      <c r="I194" s="66"/>
      <c r="J194" s="66"/>
      <c r="K194" s="66"/>
      <c r="L194" s="66"/>
      <c r="M194" s="66"/>
      <c r="N194" s="66"/>
      <c r="O194" s="66"/>
      <c r="P194" s="66"/>
      <c r="Q194" s="66"/>
      <c r="R194" s="66"/>
    </row>
    <row r="195" spans="2:18" x14ac:dyDescent="0.55000000000000004">
      <c r="B195" s="66"/>
      <c r="C195" s="66"/>
      <c r="D195" s="66"/>
      <c r="E195" s="66"/>
      <c r="F195" s="66"/>
      <c r="G195" s="66"/>
      <c r="H195" s="66"/>
      <c r="I195" s="66"/>
      <c r="J195" s="66"/>
      <c r="K195" s="66"/>
      <c r="L195" s="66"/>
      <c r="M195" s="66"/>
      <c r="N195" s="66"/>
      <c r="O195" s="66"/>
      <c r="P195" s="66"/>
      <c r="Q195" s="66"/>
      <c r="R195" s="66"/>
    </row>
    <row r="196" spans="2:18" x14ac:dyDescent="0.55000000000000004">
      <c r="B196" s="66"/>
      <c r="C196" s="66"/>
      <c r="D196" s="66"/>
      <c r="E196" s="66"/>
      <c r="F196" s="66"/>
      <c r="G196" s="66"/>
      <c r="H196" s="66"/>
      <c r="I196" s="66"/>
      <c r="J196" s="66"/>
      <c r="K196" s="66"/>
      <c r="L196" s="66"/>
      <c r="M196" s="66"/>
      <c r="N196" s="66"/>
      <c r="O196" s="66"/>
      <c r="P196" s="66"/>
      <c r="Q196" s="66"/>
      <c r="R196" s="66"/>
    </row>
    <row r="197" spans="2:18" x14ac:dyDescent="0.55000000000000004">
      <c r="B197" s="66"/>
      <c r="C197" s="66"/>
      <c r="D197" s="66"/>
      <c r="E197" s="66"/>
      <c r="F197" s="66"/>
      <c r="G197" s="66"/>
      <c r="H197" s="66"/>
      <c r="I197" s="66"/>
      <c r="J197" s="66"/>
      <c r="K197" s="66"/>
      <c r="L197" s="66"/>
      <c r="M197" s="66"/>
      <c r="N197" s="66"/>
      <c r="O197" s="66"/>
      <c r="P197" s="66"/>
      <c r="Q197" s="66"/>
      <c r="R197" s="66"/>
    </row>
    <row r="198" spans="2:18" x14ac:dyDescent="0.55000000000000004">
      <c r="B198" s="66"/>
      <c r="C198" s="66"/>
      <c r="D198" s="66"/>
      <c r="E198" s="66"/>
      <c r="F198" s="66"/>
      <c r="G198" s="66"/>
      <c r="H198" s="66"/>
      <c r="I198" s="66"/>
      <c r="J198" s="66"/>
      <c r="K198" s="66"/>
      <c r="L198" s="66"/>
      <c r="M198" s="66"/>
      <c r="N198" s="66"/>
      <c r="O198" s="66"/>
      <c r="P198" s="66"/>
      <c r="Q198" s="66"/>
      <c r="R198" s="66"/>
    </row>
    <row r="199" spans="2:18" x14ac:dyDescent="0.55000000000000004">
      <c r="B199" s="66"/>
      <c r="C199" s="66"/>
      <c r="D199" s="66"/>
      <c r="E199" s="66"/>
      <c r="F199" s="66"/>
      <c r="G199" s="66"/>
      <c r="H199" s="66"/>
      <c r="I199" s="66"/>
      <c r="J199" s="66"/>
      <c r="K199" s="66"/>
      <c r="L199" s="66"/>
      <c r="M199" s="66"/>
      <c r="N199" s="66"/>
      <c r="O199" s="66"/>
      <c r="P199" s="66"/>
      <c r="Q199" s="66"/>
      <c r="R199" s="66"/>
    </row>
    <row r="200" spans="2:18" x14ac:dyDescent="0.55000000000000004">
      <c r="B200" s="66"/>
      <c r="C200" s="66"/>
      <c r="D200" s="66"/>
      <c r="E200" s="66"/>
      <c r="F200" s="66"/>
      <c r="G200" s="66"/>
      <c r="H200" s="66"/>
      <c r="I200" s="66"/>
      <c r="J200" s="66"/>
      <c r="K200" s="66"/>
      <c r="L200" s="66"/>
      <c r="M200" s="66"/>
      <c r="N200" s="66"/>
      <c r="O200" s="66"/>
      <c r="P200" s="66"/>
      <c r="Q200" s="66"/>
      <c r="R200" s="66"/>
    </row>
    <row r="201" spans="2:18" x14ac:dyDescent="0.55000000000000004">
      <c r="B201" s="66"/>
      <c r="C201" s="66"/>
      <c r="D201" s="66"/>
      <c r="E201" s="66"/>
      <c r="F201" s="66"/>
      <c r="G201" s="66"/>
      <c r="H201" s="66"/>
      <c r="I201" s="66"/>
      <c r="J201" s="66"/>
      <c r="K201" s="66"/>
      <c r="L201" s="66"/>
      <c r="M201" s="66"/>
      <c r="N201" s="66"/>
      <c r="O201" s="66"/>
      <c r="P201" s="66"/>
      <c r="Q201" s="66"/>
      <c r="R201" s="66"/>
    </row>
    <row r="202" spans="2:18" x14ac:dyDescent="0.55000000000000004">
      <c r="B202" s="66"/>
      <c r="C202" s="66"/>
      <c r="D202" s="66"/>
      <c r="E202" s="66"/>
      <c r="F202" s="66"/>
      <c r="G202" s="66"/>
      <c r="H202" s="66"/>
      <c r="I202" s="66"/>
      <c r="J202" s="66"/>
      <c r="K202" s="66"/>
      <c r="L202" s="66"/>
      <c r="M202" s="66"/>
      <c r="N202" s="66"/>
      <c r="O202" s="66"/>
      <c r="P202" s="66"/>
      <c r="Q202" s="66"/>
      <c r="R202" s="66"/>
    </row>
    <row r="203" spans="2:18" x14ac:dyDescent="0.55000000000000004">
      <c r="B203" s="66"/>
      <c r="C203" s="66"/>
      <c r="D203" s="66"/>
      <c r="E203" s="66"/>
      <c r="F203" s="66"/>
      <c r="G203" s="66"/>
      <c r="H203" s="66"/>
      <c r="I203" s="66"/>
      <c r="J203" s="66"/>
      <c r="K203" s="66"/>
      <c r="L203" s="66"/>
      <c r="M203" s="66"/>
      <c r="N203" s="66"/>
      <c r="O203" s="66"/>
      <c r="P203" s="66"/>
      <c r="Q203" s="66"/>
      <c r="R203" s="66"/>
    </row>
    <row r="204" spans="2:18" x14ac:dyDescent="0.55000000000000004">
      <c r="B204" s="66"/>
      <c r="C204" s="66"/>
      <c r="D204" s="66"/>
      <c r="E204" s="66"/>
      <c r="F204" s="66"/>
      <c r="G204" s="66"/>
      <c r="H204" s="66"/>
      <c r="I204" s="66"/>
      <c r="J204" s="66"/>
      <c r="K204" s="66"/>
      <c r="L204" s="66"/>
      <c r="M204" s="66"/>
      <c r="N204" s="66"/>
      <c r="O204" s="66"/>
      <c r="P204" s="66"/>
      <c r="Q204" s="66"/>
      <c r="R204" s="66"/>
    </row>
    <row r="205" spans="2:18" x14ac:dyDescent="0.55000000000000004">
      <c r="B205" s="66"/>
      <c r="C205" s="66"/>
      <c r="D205" s="66"/>
      <c r="E205" s="66"/>
      <c r="F205" s="66"/>
      <c r="G205" s="66"/>
      <c r="H205" s="66"/>
      <c r="I205" s="66"/>
      <c r="J205" s="66"/>
      <c r="K205" s="66"/>
      <c r="L205" s="66"/>
      <c r="M205" s="66"/>
      <c r="N205" s="66"/>
      <c r="O205" s="66"/>
      <c r="P205" s="66"/>
      <c r="Q205" s="66"/>
      <c r="R205" s="66"/>
    </row>
    <row r="206" spans="2:18" x14ac:dyDescent="0.55000000000000004">
      <c r="B206" s="66"/>
      <c r="C206" s="66"/>
      <c r="D206" s="66"/>
      <c r="E206" s="66"/>
      <c r="F206" s="66"/>
      <c r="G206" s="66"/>
      <c r="H206" s="66"/>
      <c r="I206" s="66"/>
      <c r="J206" s="66"/>
      <c r="K206" s="66"/>
      <c r="L206" s="66"/>
      <c r="M206" s="66"/>
      <c r="N206" s="66"/>
      <c r="O206" s="66"/>
      <c r="P206" s="66"/>
      <c r="Q206" s="66"/>
      <c r="R206" s="66"/>
    </row>
    <row r="207" spans="2:18" x14ac:dyDescent="0.55000000000000004">
      <c r="B207" s="66"/>
      <c r="C207" s="66"/>
      <c r="D207" s="66"/>
      <c r="E207" s="66"/>
      <c r="F207" s="66"/>
      <c r="G207" s="66"/>
      <c r="H207" s="66"/>
      <c r="I207" s="66"/>
      <c r="J207" s="66"/>
      <c r="K207" s="66"/>
      <c r="L207" s="66"/>
      <c r="M207" s="66"/>
      <c r="N207" s="66"/>
      <c r="O207" s="66"/>
      <c r="P207" s="66"/>
      <c r="Q207" s="66"/>
      <c r="R207" s="66"/>
    </row>
    <row r="208" spans="2:18" x14ac:dyDescent="0.55000000000000004">
      <c r="B208" s="66"/>
      <c r="C208" s="66"/>
      <c r="D208" s="66"/>
      <c r="E208" s="66"/>
      <c r="F208" s="66"/>
      <c r="G208" s="66"/>
      <c r="H208" s="66"/>
      <c r="I208" s="66"/>
      <c r="J208" s="66"/>
      <c r="K208" s="66"/>
      <c r="L208" s="66"/>
      <c r="M208" s="66"/>
      <c r="N208" s="66"/>
      <c r="O208" s="66"/>
      <c r="P208" s="66"/>
      <c r="Q208" s="66"/>
      <c r="R208" s="66"/>
    </row>
    <row r="209" spans="2:18" x14ac:dyDescent="0.55000000000000004">
      <c r="B209" s="66"/>
      <c r="C209" s="66"/>
      <c r="D209" s="66"/>
      <c r="E209" s="66"/>
      <c r="F209" s="66"/>
      <c r="G209" s="66"/>
      <c r="H209" s="66"/>
      <c r="I209" s="66"/>
      <c r="J209" s="66"/>
      <c r="K209" s="66"/>
      <c r="L209" s="66"/>
      <c r="M209" s="66"/>
      <c r="N209" s="66"/>
      <c r="O209" s="66"/>
      <c r="P209" s="66"/>
      <c r="Q209" s="66"/>
      <c r="R209" s="66"/>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21704-617A-4261-984D-4C1373DFAF5F}">
  <dimension ref="A2:AE538"/>
  <sheetViews>
    <sheetView topLeftCell="A516" zoomScale="70" workbookViewId="0">
      <selection activeCell="B525" sqref="B525"/>
    </sheetView>
  </sheetViews>
  <sheetFormatPr defaultRowHeight="14.4" x14ac:dyDescent="0.55000000000000004"/>
  <cols>
    <col min="1" max="1" width="34.5234375" bestFit="1" customWidth="1"/>
    <col min="2" max="2" width="11.68359375" bestFit="1" customWidth="1"/>
    <col min="3" max="3" width="9.15625" bestFit="1" customWidth="1"/>
    <col min="12" max="12" width="9.20703125" bestFit="1" customWidth="1"/>
  </cols>
  <sheetData>
    <row r="2" spans="1:31" x14ac:dyDescent="0.55000000000000004">
      <c r="B2" s="108" t="s">
        <v>165</v>
      </c>
    </row>
    <row r="3" spans="1:31" x14ac:dyDescent="0.55000000000000004">
      <c r="B3" t="s">
        <v>166</v>
      </c>
      <c r="C3">
        <v>13800</v>
      </c>
    </row>
    <row r="4" spans="1:31" x14ac:dyDescent="0.55000000000000004">
      <c r="B4" t="s">
        <v>167</v>
      </c>
      <c r="C4" s="107">
        <f>C3/C5</f>
        <v>121.46069690275222</v>
      </c>
    </row>
    <row r="5" spans="1:31" x14ac:dyDescent="0.55000000000000004">
      <c r="B5" t="s">
        <v>168</v>
      </c>
      <c r="C5" s="107">
        <v>113.617</v>
      </c>
    </row>
    <row r="7" spans="1:31" x14ac:dyDescent="0.55000000000000004">
      <c r="B7" t="s">
        <v>252</v>
      </c>
    </row>
    <row r="8" spans="1:31" x14ac:dyDescent="0.55000000000000004">
      <c r="B8" t="s">
        <v>251</v>
      </c>
    </row>
    <row r="10" spans="1:31" x14ac:dyDescent="0.55000000000000004">
      <c r="B10" s="89" t="s">
        <v>169</v>
      </c>
      <c r="C10" s="89" t="s">
        <v>169</v>
      </c>
      <c r="D10" s="89" t="s">
        <v>169</v>
      </c>
      <c r="E10" s="89" t="s">
        <v>169</v>
      </c>
      <c r="F10" s="89" t="s">
        <v>169</v>
      </c>
      <c r="G10" s="89" t="s">
        <v>169</v>
      </c>
      <c r="H10" s="89" t="s">
        <v>169</v>
      </c>
      <c r="L10" s="89" t="s">
        <v>170</v>
      </c>
      <c r="M10" s="89" t="s">
        <v>170</v>
      </c>
      <c r="N10" s="89"/>
      <c r="O10" s="89" t="s">
        <v>170</v>
      </c>
      <c r="P10" s="89" t="s">
        <v>170</v>
      </c>
      <c r="Q10" s="89" t="s">
        <v>170</v>
      </c>
      <c r="R10" s="89" t="s">
        <v>170</v>
      </c>
      <c r="S10" s="89" t="s">
        <v>170</v>
      </c>
    </row>
    <row r="11" spans="1:31" x14ac:dyDescent="0.55000000000000004">
      <c r="A11" s="90"/>
      <c r="B11" s="91" t="s">
        <v>136</v>
      </c>
      <c r="C11" s="91" t="s">
        <v>137</v>
      </c>
      <c r="D11" s="91" t="s">
        <v>138</v>
      </c>
      <c r="E11" s="91" t="s">
        <v>139</v>
      </c>
      <c r="F11" s="91" t="s">
        <v>140</v>
      </c>
      <c r="G11" s="91" t="s">
        <v>141</v>
      </c>
      <c r="H11" s="91" t="s">
        <v>142</v>
      </c>
      <c r="L11" s="91" t="str">
        <f>B11</f>
        <v>Q1 22</v>
      </c>
      <c r="M11" s="91" t="str">
        <f>C11</f>
        <v>Q2 22</v>
      </c>
      <c r="N11" s="91"/>
      <c r="O11" s="91" t="str">
        <f>D11</f>
        <v>Q3 22</v>
      </c>
      <c r="P11" s="91" t="str">
        <f>E11</f>
        <v>Q4 22</v>
      </c>
      <c r="Q11" s="91" t="str">
        <f>F11</f>
        <v>Q1 23</v>
      </c>
      <c r="R11" s="91" t="str">
        <f>G11</f>
        <v>Q2 23</v>
      </c>
      <c r="S11" s="91" t="str">
        <f>H11</f>
        <v>Q3 23</v>
      </c>
      <c r="U11" s="91" t="str">
        <f>L11</f>
        <v>Q1 22</v>
      </c>
      <c r="V11" s="91" t="str">
        <f>M11</f>
        <v>Q2 22</v>
      </c>
      <c r="W11" s="91" t="str">
        <f>O11</f>
        <v>Q3 22</v>
      </c>
      <c r="X11" s="91" t="str">
        <f>P11</f>
        <v>Q4 22</v>
      </c>
      <c r="Y11" s="91" t="str">
        <f>Q11</f>
        <v>Q1 23</v>
      </c>
      <c r="Z11" s="91" t="str">
        <f>R11</f>
        <v>Q2 23</v>
      </c>
      <c r="AA11" s="91"/>
      <c r="AB11" s="91" t="str">
        <f>S11</f>
        <v>Q3 23</v>
      </c>
      <c r="AC11" s="91" t="s">
        <v>143</v>
      </c>
      <c r="AD11" s="91" t="s">
        <v>144</v>
      </c>
      <c r="AE11" s="91" t="s">
        <v>338</v>
      </c>
    </row>
    <row r="12" spans="1:31" x14ac:dyDescent="0.55000000000000004">
      <c r="A12" t="str">
        <f>'Segment feeder'!A8</f>
        <v xml:space="preserve">     Transaction-based revenue</v>
      </c>
      <c r="B12" s="107">
        <f>'Segment feeder'!O8/1000</f>
        <v>1123.7280000000001</v>
      </c>
      <c r="C12" s="107">
        <f>'Segment feeder'!P8/1000</f>
        <v>1359.6389999999999</v>
      </c>
      <c r="D12" s="107">
        <f>'Segment feeder'!Q8/1000</f>
        <v>1399.431</v>
      </c>
      <c r="E12" s="107">
        <f>'Segment feeder'!R8/1000</f>
        <v>1352.5709999999999</v>
      </c>
      <c r="F12" s="107">
        <f>'Segment feeder'!S8/1000</f>
        <v>1288.0419999999999</v>
      </c>
      <c r="G12" s="107">
        <f>'Segment feeder'!T8/1000</f>
        <v>1503.913</v>
      </c>
      <c r="H12" s="107">
        <f>'Segment feeder'!U8/1000</f>
        <v>1537.885</v>
      </c>
      <c r="L12" s="107">
        <v>1123.7280000000001</v>
      </c>
      <c r="M12" s="107">
        <v>1359.6389999999999</v>
      </c>
      <c r="N12" s="107"/>
      <c r="O12" s="107">
        <v>1399.431</v>
      </c>
      <c r="P12" s="107">
        <v>1352.5709999999999</v>
      </c>
      <c r="Q12" s="107">
        <v>1288.0419999999999</v>
      </c>
      <c r="R12" s="107">
        <v>1503.913</v>
      </c>
      <c r="S12" s="107">
        <v>1537.885</v>
      </c>
    </row>
    <row r="13" spans="1:31" x14ac:dyDescent="0.55000000000000004">
      <c r="A13" t="str">
        <f>'Segment feeder'!A9</f>
        <v xml:space="preserve">     Subscription and services-based revenue</v>
      </c>
      <c r="B13" s="107">
        <f>'Segment feeder'!O9/1000</f>
        <v>217.768</v>
      </c>
      <c r="C13" s="107">
        <f>'Segment feeder'!P9/1000</f>
        <v>213.77250000000001</v>
      </c>
      <c r="D13" s="107">
        <f>'Segment feeder'!Q9/1000</f>
        <v>226.73650000000001</v>
      </c>
      <c r="E13" s="107">
        <f>'Segment feeder'!R9/1000</f>
        <v>236.07400000000001</v>
      </c>
      <c r="F13" s="107">
        <f>'Segment feeder'!S9/1000</f>
        <v>229.88300000000001</v>
      </c>
      <c r="G13" s="107">
        <f>'Segment feeder'!T9/1000</f>
        <v>262.8775</v>
      </c>
      <c r="H13" s="107">
        <f>'Segment feeder'!U9/1000</f>
        <v>273.15600000000001</v>
      </c>
      <c r="L13" s="107">
        <v>282.64999999999998</v>
      </c>
      <c r="M13" s="107">
        <v>317.83499999999998</v>
      </c>
      <c r="N13" s="107"/>
      <c r="O13" s="107">
        <v>331.70299999999997</v>
      </c>
      <c r="P13" s="107">
        <v>367.85500000000002</v>
      </c>
      <c r="Q13" s="107">
        <v>341.74099999999999</v>
      </c>
      <c r="R13" s="107">
        <v>380.596</v>
      </c>
      <c r="S13" s="107">
        <v>402.12599999999998</v>
      </c>
      <c r="U13" s="107"/>
      <c r="V13" s="107"/>
      <c r="W13" s="107"/>
      <c r="X13" s="107"/>
      <c r="Y13" s="107"/>
      <c r="Z13" s="107"/>
      <c r="AA13" s="107"/>
      <c r="AB13" s="107"/>
    </row>
    <row r="14" spans="1:31" x14ac:dyDescent="0.55000000000000004">
      <c r="A14" t="str">
        <f>'Segment feeder'!A10</f>
        <v xml:space="preserve">     Hardware revenue</v>
      </c>
      <c r="B14" s="107">
        <f>'Segment feeder'!O10/1000</f>
        <v>37.326000000000001</v>
      </c>
      <c r="C14" s="107">
        <f>'Segment feeder'!P10/1000</f>
        <v>48.051000000000002</v>
      </c>
      <c r="D14" s="107">
        <f>'Segment feeder'!Q10/1000</f>
        <v>43.387999999999998</v>
      </c>
      <c r="E14" s="107">
        <f>'Segment feeder'!R10/1000</f>
        <v>35.652999999999999</v>
      </c>
      <c r="F14" s="107">
        <f>'Segment feeder'!S10/1000</f>
        <v>37.451000000000001</v>
      </c>
      <c r="G14" s="107">
        <f>'Segment feeder'!T10/1000</f>
        <v>44.921999999999997</v>
      </c>
      <c r="H14" s="107">
        <f>'Segment feeder'!U10/1000</f>
        <v>42.341000000000001</v>
      </c>
      <c r="L14" s="107">
        <v>37.326000000000001</v>
      </c>
      <c r="M14" s="107">
        <v>48.051000000000002</v>
      </c>
      <c r="N14" s="107"/>
      <c r="O14" s="107">
        <v>43.387999999999998</v>
      </c>
      <c r="P14" s="107">
        <v>35.652999999999999</v>
      </c>
      <c r="Q14" s="107">
        <v>37.451000000000001</v>
      </c>
      <c r="R14" s="107">
        <v>44.921999999999997</v>
      </c>
      <c r="S14" s="107">
        <v>42.341000000000001</v>
      </c>
      <c r="U14" s="107"/>
      <c r="V14" s="107"/>
      <c r="W14" s="107"/>
      <c r="X14" s="107"/>
      <c r="Y14" s="107"/>
      <c r="Z14" s="107"/>
      <c r="AA14" s="107"/>
      <c r="AB14" s="107"/>
    </row>
    <row r="15" spans="1:31" x14ac:dyDescent="0.55000000000000004">
      <c r="A15" t="str">
        <f>'Segment feeder'!A11</f>
        <v xml:space="preserve">     Bitcoin revenue</v>
      </c>
      <c r="B15" s="107">
        <f>'Segment feeder'!O11/1000</f>
        <v>0</v>
      </c>
      <c r="C15" s="107">
        <f>'Segment feeder'!P11/1000</f>
        <v>0</v>
      </c>
      <c r="D15" s="107">
        <f>'Segment feeder'!Q11/1000</f>
        <v>0</v>
      </c>
      <c r="E15" s="107">
        <f>'Segment feeder'!R11/1000</f>
        <v>0</v>
      </c>
      <c r="F15" s="107">
        <f>'Segment feeder'!S11/1000</f>
        <v>0</v>
      </c>
      <c r="G15" s="107">
        <f>'Segment feeder'!T11/1000</f>
        <v>0</v>
      </c>
      <c r="H15" s="107">
        <f>'Segment feeder'!U11/1000</f>
        <v>0</v>
      </c>
      <c r="L15" s="107">
        <v>0</v>
      </c>
      <c r="M15" s="107">
        <v>0</v>
      </c>
      <c r="N15" s="107"/>
      <c r="O15" s="107">
        <v>0</v>
      </c>
      <c r="P15" s="107">
        <v>0</v>
      </c>
      <c r="Q15" s="107">
        <v>0</v>
      </c>
      <c r="R15" s="107">
        <v>0</v>
      </c>
      <c r="S15" s="107">
        <v>0</v>
      </c>
      <c r="U15" s="107"/>
      <c r="V15" s="107"/>
      <c r="W15" s="107"/>
      <c r="X15" s="107"/>
      <c r="Y15" s="107"/>
      <c r="Z15" s="107"/>
      <c r="AA15" s="107"/>
      <c r="AB15" s="107"/>
    </row>
    <row r="16" spans="1:31" x14ac:dyDescent="0.55000000000000004">
      <c r="A16" t="str">
        <f>'Segment feeder'!A12</f>
        <v>Revenue</v>
      </c>
      <c r="B16" s="107">
        <f>'Segment feeder'!O12/1000</f>
        <v>1378.8219999999999</v>
      </c>
      <c r="C16" s="107">
        <f>'Segment feeder'!P12/1000</f>
        <v>1621.4625000000001</v>
      </c>
      <c r="D16" s="107">
        <f>'Segment feeder'!Q12/1000</f>
        <v>1669.5554999999999</v>
      </c>
      <c r="E16" s="107">
        <f>'Segment feeder'!R12/1000</f>
        <v>1624.298</v>
      </c>
      <c r="F16" s="107">
        <f>'Segment feeder'!S12/1000</f>
        <v>1555.376</v>
      </c>
      <c r="G16" s="107">
        <f>'Segment feeder'!T12/1000</f>
        <v>1811.7125000000001</v>
      </c>
      <c r="H16" s="107">
        <f>'Segment feeder'!U12/1000</f>
        <v>1853.3820000000001</v>
      </c>
      <c r="L16" s="107">
        <v>1443.704</v>
      </c>
      <c r="M16" s="107">
        <v>1725.5250000000001</v>
      </c>
      <c r="N16" s="107"/>
      <c r="O16" s="107">
        <v>1774.5219999999999</v>
      </c>
      <c r="P16" s="107">
        <v>1756.079</v>
      </c>
      <c r="Q16" s="107">
        <v>1667.2339999999999</v>
      </c>
      <c r="R16" s="107">
        <v>1929.431</v>
      </c>
      <c r="S16" s="107">
        <v>1982.3520000000001</v>
      </c>
      <c r="U16" s="107"/>
      <c r="V16" s="107"/>
      <c r="W16" s="107"/>
      <c r="X16" s="107"/>
      <c r="Y16" s="107"/>
      <c r="Z16" s="107"/>
      <c r="AA16" s="107"/>
      <c r="AB16" s="107"/>
    </row>
    <row r="17" spans="1:31" x14ac:dyDescent="0.55000000000000004">
      <c r="A17" t="str">
        <f>'Segment feeder'!A13</f>
        <v>Cost of revenue</v>
      </c>
      <c r="B17" s="107">
        <f>'Segment feeder'!O13/1000</f>
        <v>763.74149999999997</v>
      </c>
      <c r="C17" s="107">
        <f>'Segment feeder'!P13/1000</f>
        <v>940.84749999999997</v>
      </c>
      <c r="D17" s="107">
        <f>'Segment feeder'!Q13/1000</f>
        <v>961.45249999999999</v>
      </c>
      <c r="E17" s="107">
        <f>'Segment feeder'!R13/1000</f>
        <v>921.19500000000005</v>
      </c>
      <c r="F17" s="107">
        <f>'Segment feeder'!S13/1000</f>
        <v>863.81500000000005</v>
      </c>
      <c r="G17" s="107">
        <f>'Segment feeder'!T13/1000</f>
        <v>1007.6795</v>
      </c>
      <c r="H17" s="107">
        <f>'Segment feeder'!U13/1000</f>
        <v>1048.0445</v>
      </c>
      <c r="L17" s="107">
        <v>782.48299999999995</v>
      </c>
      <c r="M17" s="107">
        <v>970.08600000000001</v>
      </c>
      <c r="N17" s="107"/>
      <c r="O17" s="107">
        <v>991.55399999999997</v>
      </c>
      <c r="P17" s="107">
        <v>954.73</v>
      </c>
      <c r="Q17" s="107">
        <v>896.95899999999995</v>
      </c>
      <c r="R17" s="107">
        <v>1041.1579999999999</v>
      </c>
      <c r="S17" s="107">
        <v>1083.383</v>
      </c>
      <c r="U17" s="107"/>
      <c r="V17" s="107"/>
      <c r="W17" s="107"/>
      <c r="X17" s="107"/>
      <c r="Y17" s="107"/>
      <c r="Z17" s="107"/>
      <c r="AA17" s="107"/>
      <c r="AB17" s="107"/>
    </row>
    <row r="18" spans="1:31" x14ac:dyDescent="0.55000000000000004">
      <c r="A18" t="str">
        <f>'Segment feeder'!A14</f>
        <v xml:space="preserve">     Gross profit</v>
      </c>
      <c r="B18" s="107">
        <f>'Segment feeder'!O14/1000</f>
        <v>615.08050000000003</v>
      </c>
      <c r="C18" s="107">
        <f>'Segment feeder'!P14/1000</f>
        <v>680.61500000000001</v>
      </c>
      <c r="D18" s="107">
        <f>'Segment feeder'!Q14/1000</f>
        <v>708.10299999999995</v>
      </c>
      <c r="E18" s="107">
        <f>'Segment feeder'!R14/1000</f>
        <v>703.10299999999995</v>
      </c>
      <c r="F18" s="107">
        <f>'Segment feeder'!S14/1000</f>
        <v>691.56100000000004</v>
      </c>
      <c r="G18" s="107">
        <f>'Segment feeder'!T14/1000</f>
        <v>804.03300000000002</v>
      </c>
      <c r="H18" s="107">
        <f>'Segment feeder'!U14/1000</f>
        <v>805.33749999999998</v>
      </c>
      <c r="L18" s="107">
        <v>661.221</v>
      </c>
      <c r="M18" s="107">
        <v>755.43899999999996</v>
      </c>
      <c r="N18" s="107"/>
      <c r="O18" s="107">
        <v>782.96799999999996</v>
      </c>
      <c r="P18" s="107">
        <v>801.34900000000005</v>
      </c>
      <c r="Q18" s="107">
        <v>770.27499999999998</v>
      </c>
      <c r="R18" s="107">
        <v>888.27300000000002</v>
      </c>
      <c r="S18" s="107">
        <v>898.96900000000005</v>
      </c>
      <c r="U18" s="107"/>
      <c r="V18" s="107"/>
      <c r="W18" s="107"/>
      <c r="X18" s="107"/>
      <c r="Y18" s="107"/>
      <c r="Z18" s="107"/>
      <c r="AA18" s="107"/>
      <c r="AB18" s="107"/>
    </row>
    <row r="19" spans="1:31" x14ac:dyDescent="0.55000000000000004">
      <c r="B19" s="107">
        <f>'Segment feeder'!O15/1000</f>
        <v>0</v>
      </c>
      <c r="C19" s="107">
        <f>'Segment feeder'!P15/1000</f>
        <v>0</v>
      </c>
      <c r="D19" s="107">
        <f>'Segment feeder'!Q15/1000</f>
        <v>0</v>
      </c>
      <c r="E19" s="107">
        <f>'Segment feeder'!R15/1000</f>
        <v>0</v>
      </c>
      <c r="F19" s="107">
        <f>'Segment feeder'!S15/1000</f>
        <v>0</v>
      </c>
      <c r="G19" s="107">
        <f>'Segment feeder'!T15/1000</f>
        <v>0</v>
      </c>
      <c r="H19" s="107">
        <f>'Segment feeder'!U15/1000</f>
        <v>0</v>
      </c>
      <c r="L19" s="107">
        <v>0</v>
      </c>
      <c r="M19" s="107">
        <v>0</v>
      </c>
      <c r="N19" s="107"/>
      <c r="O19" s="107">
        <v>0</v>
      </c>
      <c r="P19" s="107">
        <v>0</v>
      </c>
      <c r="Q19" s="107">
        <v>0</v>
      </c>
      <c r="R19" s="107">
        <v>0</v>
      </c>
      <c r="S19" s="107">
        <v>0</v>
      </c>
      <c r="U19" s="107"/>
      <c r="V19" s="107"/>
      <c r="W19" s="107"/>
      <c r="X19" s="107"/>
      <c r="Y19" s="107"/>
      <c r="Z19" s="107"/>
      <c r="AA19" s="107"/>
      <c r="AB19" s="107"/>
    </row>
    <row r="20" spans="1:31" x14ac:dyDescent="0.55000000000000004">
      <c r="A20" t="str">
        <f>'Segment feeder'!A16</f>
        <v>Cash App(1)</v>
      </c>
      <c r="B20" s="107">
        <f>'Segment feeder'!O16/1000</f>
        <v>0</v>
      </c>
      <c r="C20" s="107">
        <f>'Segment feeder'!P16/1000</f>
        <v>0</v>
      </c>
      <c r="D20" s="107">
        <f>'Segment feeder'!Q16/1000</f>
        <v>0</v>
      </c>
      <c r="E20" s="107">
        <f>'Segment feeder'!R16/1000</f>
        <v>0</v>
      </c>
      <c r="F20" s="107">
        <f>'Segment feeder'!S16/1000</f>
        <v>0</v>
      </c>
      <c r="G20" s="107">
        <f>'Segment feeder'!T16/1000</f>
        <v>0</v>
      </c>
      <c r="H20" s="107">
        <f>'Segment feeder'!U16/1000</f>
        <v>0</v>
      </c>
      <c r="L20" s="107">
        <v>0</v>
      </c>
      <c r="M20" s="107">
        <v>0</v>
      </c>
      <c r="N20" s="107"/>
      <c r="O20" s="107">
        <v>0</v>
      </c>
      <c r="P20" s="107">
        <v>0</v>
      </c>
      <c r="Q20" s="107">
        <v>0</v>
      </c>
      <c r="R20" s="107">
        <v>0</v>
      </c>
      <c r="S20" s="107">
        <v>0</v>
      </c>
      <c r="U20" s="107"/>
      <c r="V20" s="107"/>
      <c r="W20" s="107"/>
      <c r="X20" s="107"/>
      <c r="Y20" s="107"/>
      <c r="Z20" s="107"/>
      <c r="AA20" s="107"/>
      <c r="AB20" s="107"/>
    </row>
    <row r="21" spans="1:31" x14ac:dyDescent="0.55000000000000004">
      <c r="A21" t="str">
        <f>'Segment feeder'!A17</f>
        <v xml:space="preserve">     Transaction-based revenue</v>
      </c>
      <c r="B21" s="107">
        <f>'Segment feeder'!O17/1000</f>
        <v>109.241</v>
      </c>
      <c r="C21" s="107">
        <f>'Segment feeder'!P17/1000</f>
        <v>116.068</v>
      </c>
      <c r="D21" s="107">
        <f>'Segment feeder'!Q17/1000</f>
        <v>118.459</v>
      </c>
      <c r="E21" s="107">
        <f>'Segment feeder'!R17/1000</f>
        <v>122.40300000000001</v>
      </c>
      <c r="F21" s="107">
        <f>'Segment feeder'!S17/1000</f>
        <v>134.66300000000001</v>
      </c>
      <c r="G21" s="107">
        <f>'Segment feeder'!T17/1000</f>
        <v>133.74100000000001</v>
      </c>
      <c r="H21" s="107">
        <f>'Segment feeder'!U17/1000</f>
        <v>120.783</v>
      </c>
      <c r="L21" s="107">
        <v>109.241</v>
      </c>
      <c r="M21" s="107">
        <v>116.068</v>
      </c>
      <c r="N21" s="107"/>
      <c r="O21" s="107">
        <v>118.459</v>
      </c>
      <c r="P21" s="107">
        <v>122.40300000000001</v>
      </c>
      <c r="Q21" s="107">
        <v>134.66300000000001</v>
      </c>
      <c r="R21" s="107">
        <v>133.74100000000001</v>
      </c>
      <c r="S21" s="107">
        <v>120.783</v>
      </c>
      <c r="U21" s="107"/>
      <c r="V21" s="107"/>
      <c r="W21" s="107"/>
      <c r="X21" s="107"/>
      <c r="Y21" s="107"/>
      <c r="Z21" s="107"/>
      <c r="AA21" s="107"/>
      <c r="AB21" s="107"/>
    </row>
    <row r="22" spans="1:31" x14ac:dyDescent="0.55000000000000004">
      <c r="A22" t="str">
        <f>'Segment feeder'!A18</f>
        <v xml:space="preserve">     Subscription and services-based revenue</v>
      </c>
      <c r="B22" s="107">
        <f>'Segment feeder'!O18/1000</f>
        <v>687.19100000000003</v>
      </c>
      <c r="C22" s="107">
        <f>'Segment feeder'!P18/1000</f>
        <v>824.24249999999995</v>
      </c>
      <c r="D22" s="107">
        <f>'Segment feeder'!Q18/1000</f>
        <v>908.6395</v>
      </c>
      <c r="E22" s="107">
        <f>'Segment feeder'!R18/1000</f>
        <v>1032.702</v>
      </c>
      <c r="F22" s="107">
        <f>'Segment feeder'!S18/1000</f>
        <v>1085.749</v>
      </c>
      <c r="G22" s="107">
        <f>'Segment feeder'!T18/1000</f>
        <v>1148.5405000000001</v>
      </c>
      <c r="H22" s="107">
        <f>'Segment feeder'!U18/1000</f>
        <v>1169.5609999999999</v>
      </c>
      <c r="L22" s="107">
        <v>622.30899999999997</v>
      </c>
      <c r="M22" s="107">
        <v>720.18</v>
      </c>
      <c r="N22" s="107"/>
      <c r="O22" s="107">
        <v>803.673</v>
      </c>
      <c r="P22" s="107">
        <v>900.92100000000005</v>
      </c>
      <c r="Q22" s="107">
        <v>973.89099999999996</v>
      </c>
      <c r="R22" s="107">
        <v>1030.8219999999999</v>
      </c>
      <c r="S22" s="107">
        <v>1040.5909999999999</v>
      </c>
      <c r="U22" s="107"/>
      <c r="V22" s="107"/>
      <c r="W22" s="107"/>
      <c r="X22" s="107"/>
      <c r="Y22" s="107"/>
      <c r="Z22" s="107"/>
      <c r="AA22" s="107"/>
      <c r="AB22" s="107"/>
    </row>
    <row r="23" spans="1:31" x14ac:dyDescent="0.55000000000000004">
      <c r="A23" t="str">
        <f>'Segment feeder'!A19</f>
        <v xml:space="preserve">     Hardware revenue</v>
      </c>
      <c r="B23" s="107">
        <f>'Segment feeder'!O19/1000</f>
        <v>0</v>
      </c>
      <c r="C23" s="107">
        <f>'Segment feeder'!P19/1000</f>
        <v>0</v>
      </c>
      <c r="D23" s="107">
        <f>'Segment feeder'!Q19/1000</f>
        <v>0</v>
      </c>
      <c r="E23" s="107">
        <f>'Segment feeder'!R19/1000</f>
        <v>0</v>
      </c>
      <c r="F23" s="107">
        <f>'Segment feeder'!S19/1000</f>
        <v>0</v>
      </c>
      <c r="G23" s="107">
        <f>'Segment feeder'!T19/1000</f>
        <v>0</v>
      </c>
      <c r="H23" s="107">
        <f>'Segment feeder'!U19/1000</f>
        <v>0</v>
      </c>
      <c r="L23" s="107">
        <v>0</v>
      </c>
      <c r="M23" s="107">
        <v>0</v>
      </c>
      <c r="N23" s="107"/>
      <c r="O23" s="107">
        <v>0</v>
      </c>
      <c r="P23" s="107">
        <v>0</v>
      </c>
      <c r="Q23" s="107">
        <v>0</v>
      </c>
      <c r="R23" s="107">
        <v>0</v>
      </c>
      <c r="S23" s="107">
        <v>0</v>
      </c>
      <c r="U23" s="107"/>
      <c r="V23" s="107"/>
      <c r="W23" s="107"/>
      <c r="X23" s="107"/>
      <c r="Y23" s="107"/>
      <c r="Z23" s="107"/>
      <c r="AA23" s="107"/>
      <c r="AB23" s="107"/>
    </row>
    <row r="24" spans="1:31" x14ac:dyDescent="0.55000000000000004">
      <c r="A24" t="str">
        <f>'Segment feeder'!A20</f>
        <v xml:space="preserve">     Bitcoin revenue</v>
      </c>
      <c r="B24" s="107">
        <f>'Segment feeder'!O20/1000</f>
        <v>1730.7929999999999</v>
      </c>
      <c r="C24" s="107">
        <f>'Segment feeder'!P20/1000</f>
        <v>1785.885</v>
      </c>
      <c r="D24" s="107">
        <f>'Segment feeder'!Q20/1000</f>
        <v>1762.752</v>
      </c>
      <c r="E24" s="107">
        <f>'Segment feeder'!R20/1000</f>
        <v>1833.4259999999999</v>
      </c>
      <c r="F24" s="107">
        <f>'Segment feeder'!S20/1000</f>
        <v>2163.7510000000002</v>
      </c>
      <c r="G24" s="107">
        <f>'Segment feeder'!T20/1000</f>
        <v>2390.884</v>
      </c>
      <c r="H24" s="107">
        <f>'Segment feeder'!U20/1000</f>
        <v>2423.5839999999998</v>
      </c>
      <c r="L24" s="107">
        <v>1730.7929999999999</v>
      </c>
      <c r="M24" s="107">
        <v>1785.885</v>
      </c>
      <c r="N24" s="107"/>
      <c r="O24" s="107">
        <v>1762.752</v>
      </c>
      <c r="P24" s="107">
        <v>1833.4259999999999</v>
      </c>
      <c r="Q24" s="107">
        <v>2163.7510000000002</v>
      </c>
      <c r="R24" s="107">
        <v>2390.884</v>
      </c>
      <c r="S24" s="107">
        <v>2423.5839999999998</v>
      </c>
      <c r="U24" s="107"/>
      <c r="V24" s="107"/>
      <c r="W24" s="107"/>
      <c r="X24" s="107"/>
      <c r="Y24" s="107"/>
      <c r="Z24" s="107"/>
      <c r="AA24" s="107"/>
      <c r="AB24" s="107"/>
    </row>
    <row r="25" spans="1:31" x14ac:dyDescent="0.55000000000000004">
      <c r="A25" t="str">
        <f>'Segment feeder'!A21</f>
        <v>Revenue</v>
      </c>
      <c r="B25" s="107">
        <f>'Segment feeder'!O21/1000</f>
        <v>2527.2249999999999</v>
      </c>
      <c r="C25" s="107">
        <f>'Segment feeder'!P21/1000</f>
        <v>2726.1954999999998</v>
      </c>
      <c r="D25" s="107">
        <f>'Segment feeder'!Q21/1000</f>
        <v>2789.8505</v>
      </c>
      <c r="E25" s="107">
        <f>'Segment feeder'!R21/1000</f>
        <v>2988.5309999999999</v>
      </c>
      <c r="F25" s="107">
        <f>'Segment feeder'!S21/1000</f>
        <v>3384.163</v>
      </c>
      <c r="G25" s="107">
        <f>'Segment feeder'!T21/1000</f>
        <v>3673.1655000000001</v>
      </c>
      <c r="H25" s="107">
        <f>'Segment feeder'!U21/1000</f>
        <v>3713.9279999999999</v>
      </c>
      <c r="L25" s="107">
        <v>2462.3429999999998</v>
      </c>
      <c r="M25" s="107">
        <v>2622.1329999999998</v>
      </c>
      <c r="N25" s="107"/>
      <c r="O25" s="107">
        <v>2684.884</v>
      </c>
      <c r="P25" s="107">
        <v>2856.75</v>
      </c>
      <c r="Q25" s="107">
        <v>3272.3049999999998</v>
      </c>
      <c r="R25" s="107">
        <v>3555.4470000000001</v>
      </c>
      <c r="S25" s="107">
        <v>3584.9580000000001</v>
      </c>
      <c r="U25" s="107">
        <f>(B25-L25)*2</f>
        <v>129.76400000000012</v>
      </c>
      <c r="V25" s="107">
        <f>(C25-M25)*2</f>
        <v>208.125</v>
      </c>
      <c r="W25" s="107">
        <f t="shared" ref="W25:Z26" si="0">(D25-O25)*2</f>
        <v>209.93299999999999</v>
      </c>
      <c r="X25" s="107">
        <f t="shared" si="0"/>
        <v>263.5619999999999</v>
      </c>
      <c r="Y25" s="107">
        <f t="shared" si="0"/>
        <v>223.71600000000035</v>
      </c>
      <c r="Z25" s="107">
        <f t="shared" si="0"/>
        <v>235.4369999999999</v>
      </c>
      <c r="AA25" s="107"/>
      <c r="AB25" s="107">
        <f>(H25-S25)*2</f>
        <v>257.9399999999996</v>
      </c>
      <c r="AC25" s="144">
        <v>330</v>
      </c>
      <c r="AD25" s="107">
        <f>1.25*Y25</f>
        <v>279.64500000000044</v>
      </c>
      <c r="AE25" s="107">
        <f>1.21*Z25</f>
        <v>284.87876999999986</v>
      </c>
    </row>
    <row r="26" spans="1:31" x14ac:dyDescent="0.55000000000000004">
      <c r="A26" t="str">
        <f>'Segment feeder'!A22</f>
        <v>Cost of revenue</v>
      </c>
      <c r="B26" s="107">
        <f>'Segment feeder'!O22/1000</f>
        <v>1857.4255000000001</v>
      </c>
      <c r="C26" s="107">
        <f>'Segment feeder'!P22/1000</f>
        <v>1946.4784999999999</v>
      </c>
      <c r="D26" s="107">
        <f>'Segment feeder'!Q22/1000</f>
        <v>1940.5155</v>
      </c>
      <c r="E26" s="107">
        <f>'Segment feeder'!R22/1000</f>
        <v>2042.3409999999999</v>
      </c>
      <c r="F26" s="107">
        <f>'Segment feeder'!S22/1000</f>
        <v>2374.2089999999998</v>
      </c>
      <c r="G26" s="107">
        <f>'Segment feeder'!T22/1000</f>
        <v>2620.8805000000002</v>
      </c>
      <c r="H26" s="107">
        <f>'Segment feeder'!U22/1000</f>
        <v>2636.4385000000002</v>
      </c>
      <c r="L26" s="107">
        <v>1838.684</v>
      </c>
      <c r="M26" s="107">
        <v>1917.24</v>
      </c>
      <c r="N26" s="107"/>
      <c r="O26" s="107">
        <v>1910.414</v>
      </c>
      <c r="P26" s="107">
        <v>2008.806</v>
      </c>
      <c r="Q26" s="107">
        <v>2341.0650000000001</v>
      </c>
      <c r="R26" s="107">
        <v>2587.402</v>
      </c>
      <c r="S26" s="107">
        <v>2601.1</v>
      </c>
      <c r="U26" s="107">
        <f>(B26-L26)*2</f>
        <v>37.483000000000175</v>
      </c>
      <c r="V26" s="107">
        <f>(C26-M26)*2</f>
        <v>58.476999999999862</v>
      </c>
      <c r="W26" s="107">
        <f t="shared" si="0"/>
        <v>60.202999999999975</v>
      </c>
      <c r="X26" s="107">
        <f t="shared" si="0"/>
        <v>67.069999999999709</v>
      </c>
      <c r="Y26" s="107">
        <f t="shared" si="0"/>
        <v>66.287999999999556</v>
      </c>
      <c r="Z26" s="107">
        <f t="shared" si="0"/>
        <v>66.957000000000335</v>
      </c>
      <c r="AA26" s="107"/>
      <c r="AB26" s="107">
        <f>(H26-S26)*2</f>
        <v>70.677000000000589</v>
      </c>
      <c r="AC26" s="107">
        <f>AC25-AC27</f>
        <v>88</v>
      </c>
      <c r="AD26" s="107">
        <f>AD25-AD27</f>
        <v>74.572000000000145</v>
      </c>
      <c r="AE26" s="107">
        <f>AE25-AE27</f>
        <v>75.967671999999965</v>
      </c>
    </row>
    <row r="27" spans="1:31" x14ac:dyDescent="0.55000000000000004">
      <c r="A27" t="str">
        <f>'Segment feeder'!A23</f>
        <v xml:space="preserve">     Gross profit</v>
      </c>
      <c r="B27" s="107">
        <f>'Segment feeder'!O23/1000</f>
        <v>669.79949999999997</v>
      </c>
      <c r="C27" s="107">
        <f>'Segment feeder'!P23/1000</f>
        <v>779.71699999999998</v>
      </c>
      <c r="D27" s="107">
        <f>'Segment feeder'!Q23/1000</f>
        <v>849.33500000000004</v>
      </c>
      <c r="E27" s="107">
        <f>'Segment feeder'!R23/1000</f>
        <v>946.19</v>
      </c>
      <c r="F27" s="107">
        <f>'Segment feeder'!S23/1000</f>
        <v>1009.954</v>
      </c>
      <c r="G27" s="107">
        <f>'Segment feeder'!T23/1000</f>
        <v>1052.2850000000001</v>
      </c>
      <c r="H27" s="107">
        <f>'Segment feeder'!U23/1000</f>
        <v>1077.4894999999999</v>
      </c>
      <c r="L27" s="107">
        <v>623.65899999999999</v>
      </c>
      <c r="M27" s="107">
        <v>704.89300000000003</v>
      </c>
      <c r="N27" s="107"/>
      <c r="O27" s="107">
        <v>774.47</v>
      </c>
      <c r="P27" s="107">
        <v>847.94399999999996</v>
      </c>
      <c r="Q27" s="107">
        <v>931.24</v>
      </c>
      <c r="R27" s="107">
        <v>968.04499999999996</v>
      </c>
      <c r="S27" s="107">
        <v>983.85799999999995</v>
      </c>
      <c r="U27" s="107">
        <f>U25-U26</f>
        <v>92.280999999999949</v>
      </c>
      <c r="V27" s="107">
        <f t="shared" ref="V27:AB27" si="1">V25-V26</f>
        <v>149.64800000000014</v>
      </c>
      <c r="W27" s="107">
        <f t="shared" si="1"/>
        <v>149.73000000000002</v>
      </c>
      <c r="X27" s="107">
        <f t="shared" si="1"/>
        <v>196.49200000000019</v>
      </c>
      <c r="Y27" s="107">
        <f t="shared" si="1"/>
        <v>157.42800000000079</v>
      </c>
      <c r="Z27" s="107">
        <f t="shared" si="1"/>
        <v>168.47999999999956</v>
      </c>
      <c r="AA27" s="107"/>
      <c r="AB27" s="107">
        <f t="shared" si="1"/>
        <v>187.26299999999901</v>
      </c>
      <c r="AC27" s="144">
        <v>242</v>
      </c>
      <c r="AD27" s="107">
        <f>AD28*AD25</f>
        <v>205.07300000000029</v>
      </c>
      <c r="AE27" s="107">
        <f>AE28*AE25</f>
        <v>208.9110979999999</v>
      </c>
    </row>
    <row r="28" spans="1:31" x14ac:dyDescent="0.55000000000000004">
      <c r="A28" s="108" t="s">
        <v>171</v>
      </c>
      <c r="B28" s="107"/>
      <c r="C28" s="107"/>
      <c r="D28" s="107"/>
      <c r="E28" s="107"/>
      <c r="F28" s="107"/>
      <c r="G28" s="107"/>
      <c r="H28" s="107"/>
      <c r="L28" s="107"/>
      <c r="M28" s="107"/>
      <c r="N28" s="107"/>
      <c r="O28" s="107"/>
      <c r="P28" s="107"/>
      <c r="Q28" s="107"/>
      <c r="R28" s="107"/>
      <c r="S28" s="107"/>
      <c r="U28" s="109">
        <f>U27/U25</f>
        <v>0.71114484756943264</v>
      </c>
      <c r="V28" s="109">
        <f t="shared" ref="V28:AB28" si="2">V27/V25</f>
        <v>0.71902942942943004</v>
      </c>
      <c r="W28" s="109">
        <f t="shared" si="2"/>
        <v>0.71322755355280032</v>
      </c>
      <c r="X28" s="109">
        <f t="shared" si="2"/>
        <v>0.74552477215987234</v>
      </c>
      <c r="Y28" s="109">
        <f t="shared" si="2"/>
        <v>0.70369575712063759</v>
      </c>
      <c r="Z28" s="109">
        <f t="shared" si="2"/>
        <v>0.71560544859134134</v>
      </c>
      <c r="AA28" s="109"/>
      <c r="AB28" s="109">
        <f t="shared" si="2"/>
        <v>0.72599441730634762</v>
      </c>
      <c r="AC28" s="109">
        <f>AC27/AC25</f>
        <v>0.73333333333333328</v>
      </c>
      <c r="AD28" s="109">
        <f>AC28</f>
        <v>0.73333333333333328</v>
      </c>
      <c r="AE28" s="109">
        <f>AD28</f>
        <v>0.73333333333333328</v>
      </c>
    </row>
    <row r="29" spans="1:31" x14ac:dyDescent="0.55000000000000004">
      <c r="B29" s="107">
        <f>'Segment feeder'!O24/1000</f>
        <v>0</v>
      </c>
      <c r="C29" s="107">
        <f>'Segment feeder'!P24/1000</f>
        <v>0</v>
      </c>
      <c r="D29" s="107">
        <f>'Segment feeder'!Q24/1000</f>
        <v>0</v>
      </c>
      <c r="E29" s="107">
        <f>'Segment feeder'!R24/1000</f>
        <v>0</v>
      </c>
      <c r="F29" s="107">
        <f>'Segment feeder'!S24/1000</f>
        <v>0</v>
      </c>
      <c r="G29" s="107">
        <f>'Segment feeder'!T24/1000</f>
        <v>0</v>
      </c>
      <c r="H29" s="107">
        <f>'Segment feeder'!U24/1000</f>
        <v>0</v>
      </c>
      <c r="L29" s="107">
        <v>0</v>
      </c>
      <c r="M29" s="107">
        <v>0</v>
      </c>
      <c r="N29" s="107"/>
      <c r="O29" s="107">
        <v>0</v>
      </c>
      <c r="P29" s="107">
        <v>0</v>
      </c>
      <c r="Q29" s="107">
        <v>0</v>
      </c>
      <c r="R29" s="107">
        <v>0</v>
      </c>
      <c r="S29" s="107">
        <v>0</v>
      </c>
      <c r="X29">
        <f>294.077*2</f>
        <v>588.154</v>
      </c>
      <c r="AC29">
        <f>377.6*2</f>
        <v>755.2</v>
      </c>
    </row>
    <row r="30" spans="1:31" x14ac:dyDescent="0.55000000000000004">
      <c r="A30" t="str">
        <f>'Segment feeder'!A25</f>
        <v>Corporate and other(2)</v>
      </c>
      <c r="B30" s="107">
        <f>'Segment feeder'!O25/1000</f>
        <v>0</v>
      </c>
      <c r="C30" s="107">
        <f>'Segment feeder'!P25/1000</f>
        <v>0</v>
      </c>
      <c r="D30" s="107">
        <f>'Segment feeder'!Q25/1000</f>
        <v>0</v>
      </c>
      <c r="E30" s="107">
        <f>'Segment feeder'!R25/1000</f>
        <v>0</v>
      </c>
      <c r="F30" s="107">
        <f>'Segment feeder'!S25/1000</f>
        <v>0</v>
      </c>
      <c r="G30" s="107">
        <f>'Segment feeder'!T25/1000</f>
        <v>0</v>
      </c>
      <c r="H30" s="107">
        <f>'Segment feeder'!U25/1000</f>
        <v>0</v>
      </c>
      <c r="L30" s="107">
        <v>0</v>
      </c>
      <c r="M30" s="107">
        <v>0</v>
      </c>
      <c r="N30" s="107"/>
      <c r="O30" s="107">
        <v>0</v>
      </c>
      <c r="P30" s="107">
        <v>0</v>
      </c>
      <c r="Q30" s="107">
        <v>0</v>
      </c>
      <c r="R30" s="107">
        <v>0</v>
      </c>
      <c r="S30" s="107">
        <v>0</v>
      </c>
    </row>
    <row r="31" spans="1:31" x14ac:dyDescent="0.55000000000000004">
      <c r="A31" t="str">
        <f>'Segment feeder'!A26</f>
        <v xml:space="preserve">     Transaction-based revenue</v>
      </c>
      <c r="B31" s="107">
        <f>'Segment feeder'!O26/1000</f>
        <v>0</v>
      </c>
      <c r="C31" s="107">
        <f>'Segment feeder'!P26/1000</f>
        <v>0</v>
      </c>
      <c r="D31" s="107">
        <f>'Segment feeder'!Q26/1000</f>
        <v>0</v>
      </c>
      <c r="E31" s="107">
        <f>'Segment feeder'!R26/1000</f>
        <v>0</v>
      </c>
      <c r="F31" s="107">
        <f>'Segment feeder'!S26/1000</f>
        <v>0</v>
      </c>
      <c r="G31" s="107">
        <f>'Segment feeder'!T26/1000</f>
        <v>0</v>
      </c>
      <c r="H31" s="107">
        <f>'Segment feeder'!U26/1000</f>
        <v>0</v>
      </c>
      <c r="L31" s="107">
        <v>0</v>
      </c>
      <c r="M31" s="107">
        <v>0</v>
      </c>
      <c r="N31" s="107"/>
      <c r="O31" s="107">
        <v>0</v>
      </c>
      <c r="P31" s="107">
        <v>0</v>
      </c>
      <c r="Q31" s="107">
        <v>0</v>
      </c>
      <c r="R31" s="107">
        <v>0</v>
      </c>
      <c r="S31" s="107">
        <v>0</v>
      </c>
      <c r="AB31" t="s">
        <v>849</v>
      </c>
      <c r="AC31" t="s">
        <v>848</v>
      </c>
    </row>
    <row r="32" spans="1:31" x14ac:dyDescent="0.55000000000000004">
      <c r="A32" t="str">
        <f>'Segment feeder'!A27</f>
        <v xml:space="preserve">     Subscription and services-based revenue</v>
      </c>
      <c r="B32" s="107">
        <f>'Segment feeder'!O27/1000</f>
        <v>54.597999999999999</v>
      </c>
      <c r="C32" s="107">
        <f>'Segment feeder'!P27/1000</f>
        <v>56.841000000000001</v>
      </c>
      <c r="D32" s="107">
        <f>'Segment feeder'!Q27/1000</f>
        <v>56.134999999999998</v>
      </c>
      <c r="E32" s="107">
        <f>'Segment feeder'!R27/1000</f>
        <v>38.073</v>
      </c>
      <c r="F32" s="107">
        <f>'Segment feeder'!S27/1000</f>
        <v>50.591999999999999</v>
      </c>
      <c r="G32" s="107">
        <f>'Segment feeder'!T27/1000</f>
        <v>50.079000000000001</v>
      </c>
      <c r="H32" s="107">
        <f>'Segment feeder'!U27/1000</f>
        <v>50.183</v>
      </c>
      <c r="L32" s="107">
        <v>54.597999999999999</v>
      </c>
      <c r="M32" s="107">
        <v>56.841000000000001</v>
      </c>
      <c r="N32" s="107"/>
      <c r="O32" s="107">
        <v>56.134999999999998</v>
      </c>
      <c r="P32" s="107">
        <v>38.073</v>
      </c>
      <c r="Q32" s="107">
        <v>50.591999999999999</v>
      </c>
      <c r="R32" s="107">
        <v>50.079000000000001</v>
      </c>
      <c r="S32" s="107">
        <v>50.183</v>
      </c>
      <c r="AB32">
        <v>294.10000000000002</v>
      </c>
      <c r="AC32">
        <v>377.6</v>
      </c>
    </row>
    <row r="33" spans="1:30" x14ac:dyDescent="0.55000000000000004">
      <c r="A33" t="str">
        <f>'Segment feeder'!A28</f>
        <v xml:space="preserve">     Hardware revenue</v>
      </c>
      <c r="B33" s="107">
        <f>'Segment feeder'!O28/1000</f>
        <v>0</v>
      </c>
      <c r="C33" s="107">
        <f>'Segment feeder'!P28/1000</f>
        <v>0</v>
      </c>
      <c r="D33" s="107">
        <f>'Segment feeder'!Q28/1000</f>
        <v>0</v>
      </c>
      <c r="E33" s="107">
        <f>'Segment feeder'!R28/1000</f>
        <v>0</v>
      </c>
      <c r="F33" s="107">
        <f>'Segment feeder'!S28/1000</f>
        <v>0</v>
      </c>
      <c r="G33" s="107">
        <f>'Segment feeder'!T28/1000</f>
        <v>0</v>
      </c>
      <c r="H33" s="107">
        <f>'Segment feeder'!U28/1000</f>
        <v>0</v>
      </c>
      <c r="L33" s="107">
        <v>0</v>
      </c>
      <c r="M33" s="107">
        <v>0</v>
      </c>
      <c r="N33" s="107"/>
      <c r="O33" s="107">
        <v>0</v>
      </c>
      <c r="P33" s="107">
        <v>0</v>
      </c>
      <c r="Q33" s="107">
        <v>0</v>
      </c>
      <c r="R33" s="107">
        <v>0</v>
      </c>
      <c r="S33" s="107">
        <v>0</v>
      </c>
      <c r="AB33">
        <f>AB32*2</f>
        <v>588.20000000000005</v>
      </c>
      <c r="AC33">
        <f>AC32*2</f>
        <v>755.2</v>
      </c>
      <c r="AD33" s="113">
        <f>AC33/AB33-1</f>
        <v>0.28391703502210119</v>
      </c>
    </row>
    <row r="34" spans="1:30" x14ac:dyDescent="0.55000000000000004">
      <c r="A34" t="str">
        <f>'Segment feeder'!A29</f>
        <v xml:space="preserve">     Bitcoin revenue</v>
      </c>
      <c r="B34" s="107">
        <f>'Segment feeder'!O29/1000</f>
        <v>0</v>
      </c>
      <c r="C34" s="107">
        <f>'Segment feeder'!P29/1000</f>
        <v>0</v>
      </c>
      <c r="D34" s="107">
        <f>'Segment feeder'!Q29/1000</f>
        <v>0</v>
      </c>
      <c r="E34" s="107">
        <f>'Segment feeder'!R29/1000</f>
        <v>0</v>
      </c>
      <c r="F34" s="107">
        <f>'Segment feeder'!S29/1000</f>
        <v>0</v>
      </c>
      <c r="G34" s="107">
        <f>'Segment feeder'!T29/1000</f>
        <v>0</v>
      </c>
      <c r="H34" s="107">
        <f>'Segment feeder'!U29/1000</f>
        <v>0</v>
      </c>
      <c r="L34" s="107">
        <v>0</v>
      </c>
      <c r="M34" s="107">
        <v>0</v>
      </c>
      <c r="N34" s="107"/>
      <c r="O34" s="107">
        <v>0</v>
      </c>
      <c r="P34" s="107">
        <v>0</v>
      </c>
      <c r="Q34" s="107">
        <v>0</v>
      </c>
      <c r="R34" s="107">
        <v>0</v>
      </c>
      <c r="S34" s="107">
        <v>0</v>
      </c>
    </row>
    <row r="35" spans="1:30" x14ac:dyDescent="0.55000000000000004">
      <c r="A35" t="str">
        <f>'Segment feeder'!A30</f>
        <v>Revenue</v>
      </c>
      <c r="B35" s="107">
        <f>'Segment feeder'!O30/1000</f>
        <v>54.597999999999999</v>
      </c>
      <c r="C35" s="107">
        <f>'Segment feeder'!P30/1000</f>
        <v>56.841000000000001</v>
      </c>
      <c r="D35" s="107">
        <f>'Segment feeder'!Q30/1000</f>
        <v>56.134999999999998</v>
      </c>
      <c r="E35" s="107">
        <f>'Segment feeder'!R30/1000</f>
        <v>38.073</v>
      </c>
      <c r="F35" s="107">
        <f>'Segment feeder'!S30/1000</f>
        <v>50.591999999999999</v>
      </c>
      <c r="G35" s="107">
        <f>'Segment feeder'!T30/1000</f>
        <v>50.079000000000001</v>
      </c>
      <c r="H35" s="107">
        <f>'Segment feeder'!U30/1000</f>
        <v>50.183</v>
      </c>
      <c r="L35" s="107">
        <v>54.597999999999999</v>
      </c>
      <c r="M35" s="107">
        <v>56.841000000000001</v>
      </c>
      <c r="N35" s="107"/>
      <c r="O35" s="107">
        <v>56.134999999999998</v>
      </c>
      <c r="P35" s="107">
        <v>38.073</v>
      </c>
      <c r="Q35" s="107">
        <v>50.591999999999999</v>
      </c>
      <c r="R35" s="107">
        <v>50.079000000000001</v>
      </c>
      <c r="S35" s="107">
        <v>50.183</v>
      </c>
    </row>
    <row r="36" spans="1:30" x14ac:dyDescent="0.55000000000000004">
      <c r="A36" t="str">
        <f>'Segment feeder'!A31</f>
        <v>Cost of revenue</v>
      </c>
      <c r="B36" s="107">
        <f>'Segment feeder'!O31/1000</f>
        <v>44.518000000000001</v>
      </c>
      <c r="C36" s="107">
        <f>'Segment feeder'!P31/1000</f>
        <v>47.524999999999999</v>
      </c>
      <c r="D36" s="107">
        <f>'Segment feeder'!Q31/1000</f>
        <v>46.484000000000002</v>
      </c>
      <c r="E36" s="107">
        <f>'Segment feeder'!R31/1000</f>
        <v>27.172000000000001</v>
      </c>
      <c r="F36" s="107">
        <f>'Segment feeder'!S31/1000</f>
        <v>37.523000000000003</v>
      </c>
      <c r="G36" s="107">
        <f>'Segment feeder'!T31/1000</f>
        <v>40.295999999999999</v>
      </c>
      <c r="H36" s="107">
        <f>'Segment feeder'!U31/1000</f>
        <v>34.561</v>
      </c>
      <c r="L36" s="107">
        <v>44.518000000000001</v>
      </c>
      <c r="M36" s="107">
        <v>47.524999999999999</v>
      </c>
      <c r="N36" s="107"/>
      <c r="O36" s="107">
        <v>46.484000000000002</v>
      </c>
      <c r="P36" s="107">
        <v>27.172000000000001</v>
      </c>
      <c r="Q36" s="107">
        <v>37.523000000000003</v>
      </c>
      <c r="R36" s="107">
        <v>40.295999999999999</v>
      </c>
      <c r="S36" s="107">
        <v>34.561</v>
      </c>
    </row>
    <row r="37" spans="1:30" x14ac:dyDescent="0.55000000000000004">
      <c r="A37" t="str">
        <f>'Segment feeder'!A32</f>
        <v xml:space="preserve">     Gross profit</v>
      </c>
      <c r="B37" s="107">
        <f>'Segment feeder'!O32/1000</f>
        <v>10.08</v>
      </c>
      <c r="C37" s="107">
        <f>'Segment feeder'!P32/1000</f>
        <v>9.3160000000000007</v>
      </c>
      <c r="D37" s="107">
        <f>'Segment feeder'!Q32/1000</f>
        <v>9.6509999999999998</v>
      </c>
      <c r="E37" s="107">
        <f>'Segment feeder'!R32/1000</f>
        <v>10.901</v>
      </c>
      <c r="F37" s="107">
        <f>'Segment feeder'!S32/1000</f>
        <v>13.069000000000001</v>
      </c>
      <c r="G37" s="107">
        <f>'Segment feeder'!T32/1000</f>
        <v>9.7829999999999995</v>
      </c>
      <c r="H37" s="107">
        <f>'Segment feeder'!U32/1000</f>
        <v>15.622</v>
      </c>
      <c r="L37" s="107">
        <v>10.08</v>
      </c>
      <c r="M37" s="107">
        <v>9.3160000000000007</v>
      </c>
      <c r="N37" s="107"/>
      <c r="O37" s="107">
        <v>9.6509999999999998</v>
      </c>
      <c r="P37" s="107">
        <v>10.901</v>
      </c>
      <c r="Q37" s="107">
        <v>13.069000000000001</v>
      </c>
      <c r="R37" s="107">
        <v>9.7829999999999995</v>
      </c>
      <c r="S37" s="107">
        <v>15.622</v>
      </c>
    </row>
    <row r="39" spans="1:30" x14ac:dyDescent="0.55000000000000004">
      <c r="Y39" s="106"/>
      <c r="Z39" s="106">
        <f>Z46/B46</f>
        <v>1.1100480192076829</v>
      </c>
      <c r="AA39" s="106"/>
    </row>
    <row r="40" spans="1:30" x14ac:dyDescent="0.55000000000000004">
      <c r="A40" s="108" t="s">
        <v>165</v>
      </c>
      <c r="X40" s="89" t="s">
        <v>352</v>
      </c>
      <c r="Y40" s="89" t="s">
        <v>352</v>
      </c>
      <c r="Z40" s="89" t="s">
        <v>352</v>
      </c>
      <c r="AA40" s="89"/>
    </row>
    <row r="41" spans="1:30" x14ac:dyDescent="0.55000000000000004">
      <c r="A41" s="110"/>
      <c r="B41" s="110">
        <v>2021</v>
      </c>
      <c r="C41" s="110">
        <f>B41+1</f>
        <v>2022</v>
      </c>
      <c r="D41" s="110">
        <f t="shared" ref="D41:J41" si="3">C41+1</f>
        <v>2023</v>
      </c>
      <c r="E41" s="110">
        <f t="shared" si="3"/>
        <v>2024</v>
      </c>
      <c r="F41" s="110">
        <f t="shared" si="3"/>
        <v>2025</v>
      </c>
      <c r="G41" s="110">
        <f t="shared" si="3"/>
        <v>2026</v>
      </c>
      <c r="H41" s="110">
        <f t="shared" si="3"/>
        <v>2027</v>
      </c>
      <c r="I41" s="110">
        <f t="shared" si="3"/>
        <v>2028</v>
      </c>
      <c r="J41" s="110">
        <f t="shared" si="3"/>
        <v>2029</v>
      </c>
      <c r="K41" s="110">
        <f>J41+1</f>
        <v>2030</v>
      </c>
      <c r="M41" s="110">
        <f>C41</f>
        <v>2022</v>
      </c>
      <c r="N41" s="110"/>
      <c r="O41" s="110">
        <f t="shared" ref="O41:U41" si="4">D41</f>
        <v>2023</v>
      </c>
      <c r="P41" s="110">
        <f t="shared" si="4"/>
        <v>2024</v>
      </c>
      <c r="Q41" s="110">
        <f t="shared" si="4"/>
        <v>2025</v>
      </c>
      <c r="R41" s="110">
        <f t="shared" si="4"/>
        <v>2026</v>
      </c>
      <c r="S41" s="110">
        <f t="shared" si="4"/>
        <v>2027</v>
      </c>
      <c r="T41" s="110">
        <f t="shared" si="4"/>
        <v>2028</v>
      </c>
      <c r="U41" s="110">
        <f t="shared" si="4"/>
        <v>2029</v>
      </c>
      <c r="V41" s="110">
        <f>K41</f>
        <v>2030</v>
      </c>
      <c r="X41" s="161">
        <v>2019</v>
      </c>
      <c r="Y41" s="161">
        <v>2020</v>
      </c>
      <c r="Z41" s="161">
        <v>2021</v>
      </c>
      <c r="AA41" s="160"/>
    </row>
    <row r="42" spans="1:30" x14ac:dyDescent="0.55000000000000004">
      <c r="A42" t="s">
        <v>173</v>
      </c>
      <c r="B42" s="115">
        <v>19.7</v>
      </c>
      <c r="C42" s="115">
        <f>('Op Metrics - feeder'!AE67+'Op Metrics - feeder'!AF67+'Op Metrics - feeder'!AG67+'Op Metrics - feeder'!AH67)/1000</f>
        <v>21.2</v>
      </c>
      <c r="D42" s="115">
        <f>('Op Metrics - feeder'!AI67+'Op Metrics - feeder'!AJ67+'Op Metrics - feeder'!AK67+'Op Metrics - feeder'!AL67)/1000</f>
        <v>27.3</v>
      </c>
      <c r="E42" s="115">
        <f t="shared" ref="E42:K42" si="5">(1+P42)*D42</f>
        <v>33.033000000000001</v>
      </c>
      <c r="F42" s="115">
        <f t="shared" si="5"/>
        <v>41.291250000000005</v>
      </c>
      <c r="G42" s="115">
        <f t="shared" si="5"/>
        <v>52.852800000000009</v>
      </c>
      <c r="H42" s="115">
        <f t="shared" si="5"/>
        <v>66.066000000000017</v>
      </c>
      <c r="I42" s="115">
        <f t="shared" si="5"/>
        <v>79.279200000000017</v>
      </c>
      <c r="J42" s="115">
        <f t="shared" si="5"/>
        <v>91.171080000000018</v>
      </c>
      <c r="K42" s="115">
        <f t="shared" si="5"/>
        <v>104.84674200000001</v>
      </c>
      <c r="M42" s="113">
        <f>C42/B42-1</f>
        <v>7.6142131979695327E-2</v>
      </c>
      <c r="N42" s="113"/>
      <c r="O42" s="113">
        <f>D42/C42-1</f>
        <v>0.28773584905660377</v>
      </c>
      <c r="P42" s="149">
        <v>0.21</v>
      </c>
      <c r="Q42" s="149">
        <v>0.25</v>
      </c>
      <c r="R42" s="149">
        <v>0.28000000000000003</v>
      </c>
      <c r="S42" s="149">
        <v>0.25</v>
      </c>
      <c r="T42" s="149">
        <v>0.2</v>
      </c>
      <c r="U42" s="149">
        <v>0.15</v>
      </c>
      <c r="V42" s="149">
        <v>0.15</v>
      </c>
    </row>
    <row r="43" spans="1:30" x14ac:dyDescent="0.55000000000000004">
      <c r="B43" s="115"/>
      <c r="C43" s="115"/>
      <c r="D43" s="115"/>
      <c r="E43" s="115"/>
      <c r="F43" s="115"/>
      <c r="G43" s="115"/>
      <c r="H43" s="115"/>
      <c r="I43" s="115"/>
      <c r="J43" s="115"/>
      <c r="K43" s="115"/>
      <c r="M43" s="113"/>
      <c r="N43" s="113"/>
      <c r="O43" s="113"/>
      <c r="P43" s="149"/>
      <c r="Q43" s="149"/>
      <c r="R43" s="149"/>
    </row>
    <row r="44" spans="1:30" x14ac:dyDescent="0.55000000000000004">
      <c r="A44" t="s">
        <v>366</v>
      </c>
      <c r="B44" s="115"/>
      <c r="C44" s="115"/>
      <c r="D44" s="115"/>
      <c r="E44" s="115"/>
      <c r="F44" s="115"/>
      <c r="G44" s="115"/>
      <c r="H44" s="115"/>
      <c r="I44" s="115"/>
      <c r="J44" s="115"/>
      <c r="K44" s="115"/>
      <c r="M44" s="113"/>
      <c r="N44" s="113"/>
      <c r="O44" s="113"/>
      <c r="P44" s="149"/>
      <c r="Q44" s="149"/>
      <c r="R44" s="149"/>
      <c r="Y44">
        <v>68.8</v>
      </c>
      <c r="Z44">
        <v>87.2</v>
      </c>
    </row>
    <row r="45" spans="1:30" x14ac:dyDescent="0.55000000000000004">
      <c r="A45" s="90" t="s">
        <v>367</v>
      </c>
      <c r="B45" s="155"/>
      <c r="C45" s="155"/>
      <c r="D45" s="155"/>
      <c r="E45" s="155"/>
      <c r="F45" s="155"/>
      <c r="G45" s="155"/>
      <c r="H45" s="155"/>
      <c r="I45" s="155"/>
      <c r="J45" s="155"/>
      <c r="K45" s="155"/>
      <c r="M45" s="118"/>
      <c r="N45" s="118"/>
      <c r="O45" s="118"/>
      <c r="P45" s="168"/>
      <c r="Q45" s="168"/>
      <c r="R45" s="168"/>
      <c r="S45" s="168"/>
      <c r="T45" s="168"/>
      <c r="U45" s="168"/>
      <c r="V45" s="168"/>
      <c r="X45" s="90"/>
      <c r="Y45" s="169">
        <f>Y46-Y44</f>
        <v>450.35099999999994</v>
      </c>
      <c r="Z45" s="90">
        <f>Z46-Z44</f>
        <v>837.46999999999991</v>
      </c>
    </row>
    <row r="46" spans="1:30" x14ac:dyDescent="0.55000000000000004">
      <c r="A46" t="s">
        <v>90</v>
      </c>
      <c r="B46" s="107">
        <v>833</v>
      </c>
      <c r="C46" s="107">
        <f>U25+V25+W25+X25</f>
        <v>811.38400000000001</v>
      </c>
      <c r="D46" s="107">
        <f>Y25+Z25+AB25+AC25</f>
        <v>1047.0929999999998</v>
      </c>
      <c r="E46" s="107">
        <f t="shared" ref="E46:K46" si="6">E47*E42*1000</f>
        <v>1238.7375</v>
      </c>
      <c r="F46" s="107">
        <f t="shared" si="6"/>
        <v>1548.421875</v>
      </c>
      <c r="G46" s="107">
        <f t="shared" si="6"/>
        <v>1981.9800000000002</v>
      </c>
      <c r="H46" s="107">
        <f t="shared" si="6"/>
        <v>2477.4750000000004</v>
      </c>
      <c r="I46" s="107">
        <f t="shared" si="6"/>
        <v>2972.9700000000007</v>
      </c>
      <c r="J46" s="107">
        <f t="shared" si="6"/>
        <v>3418.9155000000005</v>
      </c>
      <c r="K46" s="107">
        <f t="shared" si="6"/>
        <v>3931.752825</v>
      </c>
      <c r="M46" s="113">
        <f>C46/B46-1</f>
        <v>-2.5949579831932801E-2</v>
      </c>
      <c r="N46" s="113"/>
      <c r="O46" s="113">
        <f t="shared" ref="O46:V46" si="7">D46/C46-1</f>
        <v>0.29050240083610213</v>
      </c>
      <c r="P46" s="113">
        <f t="shared" si="7"/>
        <v>0.18302529001721912</v>
      </c>
      <c r="Q46" s="113">
        <f t="shared" si="7"/>
        <v>0.25</v>
      </c>
      <c r="R46" s="113">
        <f t="shared" si="7"/>
        <v>0.28000000000000025</v>
      </c>
      <c r="S46" s="113">
        <f t="shared" si="7"/>
        <v>0.25</v>
      </c>
      <c r="T46" s="113">
        <f t="shared" si="7"/>
        <v>0.20000000000000018</v>
      </c>
      <c r="U46" s="113">
        <f t="shared" si="7"/>
        <v>0.14999999999999991</v>
      </c>
      <c r="V46" s="113">
        <f t="shared" si="7"/>
        <v>0.14999999999999991</v>
      </c>
      <c r="X46">
        <v>264.11200000000002</v>
      </c>
      <c r="Y46" s="106">
        <v>519.15099999999995</v>
      </c>
      <c r="Z46">
        <v>924.67</v>
      </c>
    </row>
    <row r="47" spans="1:30" x14ac:dyDescent="0.55000000000000004">
      <c r="A47" t="s">
        <v>253</v>
      </c>
      <c r="B47" s="112">
        <f>B46/(B42*1000)</f>
        <v>4.2284263959390861E-2</v>
      </c>
      <c r="C47" s="112">
        <f>C46/(C42*1000)</f>
        <v>3.8272830188679247E-2</v>
      </c>
      <c r="D47" s="112">
        <f>D46/(D42*1000)</f>
        <v>3.8355054945054937E-2</v>
      </c>
      <c r="E47" s="148">
        <v>3.7499999999999999E-2</v>
      </c>
      <c r="F47" s="148">
        <v>3.7499999999999999E-2</v>
      </c>
      <c r="G47" s="148">
        <v>3.7499999999999999E-2</v>
      </c>
      <c r="H47" s="148">
        <v>3.7499999999999999E-2</v>
      </c>
      <c r="I47" s="148">
        <v>3.7499999999999999E-2</v>
      </c>
      <c r="J47" s="148">
        <v>3.7499999999999999E-2</v>
      </c>
      <c r="K47" s="148">
        <v>3.7499999999999999E-2</v>
      </c>
    </row>
    <row r="48" spans="1:30" x14ac:dyDescent="0.55000000000000004">
      <c r="A48" t="s">
        <v>254</v>
      </c>
      <c r="B48">
        <v>601</v>
      </c>
      <c r="C48" s="107">
        <f>U27+V27+W27+X27</f>
        <v>588.15100000000029</v>
      </c>
      <c r="D48" s="107">
        <f>Y27+Z27+AB27+AC27</f>
        <v>755.17099999999937</v>
      </c>
      <c r="E48" s="107">
        <f t="shared" ref="E48:K48" si="8">E49*E42*1000</f>
        <v>891.89099999999996</v>
      </c>
      <c r="F48" s="107">
        <f t="shared" si="8"/>
        <v>1114.86375</v>
      </c>
      <c r="G48" s="107">
        <f t="shared" si="8"/>
        <v>1427.0256000000004</v>
      </c>
      <c r="H48" s="107">
        <f t="shared" si="8"/>
        <v>1783.7820000000004</v>
      </c>
      <c r="I48" s="107">
        <f t="shared" si="8"/>
        <v>2140.5384000000004</v>
      </c>
      <c r="J48" s="107">
        <f t="shared" si="8"/>
        <v>2461.6191600000006</v>
      </c>
      <c r="K48" s="107">
        <f t="shared" si="8"/>
        <v>2830.8620339999998</v>
      </c>
      <c r="M48" s="112">
        <f>C48/B48-1</f>
        <v>-2.1379367720465448E-2</v>
      </c>
      <c r="N48" s="112"/>
      <c r="O48" s="112">
        <f t="shared" ref="O48:V48" si="9">D48/C48-1</f>
        <v>0.2839746935735874</v>
      </c>
      <c r="P48" s="112">
        <f t="shared" si="9"/>
        <v>0.18104508780130679</v>
      </c>
      <c r="Q48" s="112">
        <f t="shared" si="9"/>
        <v>0.25</v>
      </c>
      <c r="R48" s="112">
        <f t="shared" si="9"/>
        <v>0.28000000000000047</v>
      </c>
      <c r="S48" s="112">
        <f t="shared" si="9"/>
        <v>0.25</v>
      </c>
      <c r="T48" s="112">
        <f t="shared" si="9"/>
        <v>0.19999999999999996</v>
      </c>
      <c r="U48" s="112">
        <f t="shared" si="9"/>
        <v>0.15000000000000013</v>
      </c>
      <c r="V48" s="112">
        <f t="shared" si="9"/>
        <v>0.14999999999999969</v>
      </c>
      <c r="X48">
        <v>204.55</v>
      </c>
      <c r="Y48">
        <v>384.85599999999999</v>
      </c>
      <c r="Z48">
        <v>675.10599999999999</v>
      </c>
    </row>
    <row r="49" spans="1:28" x14ac:dyDescent="0.55000000000000004">
      <c r="A49" t="s">
        <v>253</v>
      </c>
      <c r="B49" s="112">
        <f>B48/(B42*1000)</f>
        <v>3.0507614213197969E-2</v>
      </c>
      <c r="C49" s="112">
        <f>C48/(C42*1000)</f>
        <v>2.7742971698113222E-2</v>
      </c>
      <c r="D49" s="112">
        <f>D48/(D42*1000)</f>
        <v>2.7661941391941367E-2</v>
      </c>
      <c r="E49" s="148">
        <v>2.7E-2</v>
      </c>
      <c r="F49" s="148">
        <v>2.7E-2</v>
      </c>
      <c r="G49" s="148">
        <v>2.7E-2</v>
      </c>
      <c r="H49" s="148">
        <v>2.7E-2</v>
      </c>
      <c r="I49" s="148">
        <v>2.7E-2</v>
      </c>
      <c r="J49" s="148">
        <v>2.7E-2</v>
      </c>
      <c r="K49" s="148">
        <v>2.7E-2</v>
      </c>
      <c r="Y49" s="112">
        <f>Y48/Y46</f>
        <v>0.74131803656354323</v>
      </c>
      <c r="Z49" s="112">
        <f>Z48/Z46</f>
        <v>0.73010479414277529</v>
      </c>
      <c r="AA49" s="112"/>
    </row>
    <row r="50" spans="1:28" x14ac:dyDescent="0.55000000000000004">
      <c r="A50" t="s">
        <v>171</v>
      </c>
      <c r="B50" s="112">
        <f t="shared" ref="B50:G50" si="10">B48/B46</f>
        <v>0.72148859543817523</v>
      </c>
      <c r="C50" s="113">
        <f t="shared" si="10"/>
        <v>0.72487379588456302</v>
      </c>
      <c r="D50" s="113">
        <f t="shared" si="10"/>
        <v>0.72120718981026466</v>
      </c>
      <c r="E50" s="113">
        <f t="shared" si="10"/>
        <v>0.72</v>
      </c>
      <c r="F50" s="113">
        <f t="shared" si="10"/>
        <v>0.72</v>
      </c>
      <c r="G50" s="113">
        <f t="shared" si="10"/>
        <v>0.72000000000000008</v>
      </c>
      <c r="H50" s="113">
        <f>H48/H46</f>
        <v>0.72000000000000008</v>
      </c>
      <c r="I50" s="113">
        <f>I48/I46</f>
        <v>0.72</v>
      </c>
      <c r="J50" s="113">
        <f>J48/J46</f>
        <v>0.72000000000000008</v>
      </c>
      <c r="K50" s="113">
        <f>K48/K46</f>
        <v>0.72</v>
      </c>
    </row>
    <row r="52" spans="1:28" x14ac:dyDescent="0.55000000000000004">
      <c r="A52" t="s">
        <v>321</v>
      </c>
      <c r="Y52" s="107">
        <f>(Y48-Y55)-Y53-Y54</f>
        <v>28.156000000000006</v>
      </c>
      <c r="Z52" s="107">
        <f>(Z48-Z55)-Z53-Z54</f>
        <v>35.005999999999972</v>
      </c>
      <c r="AA52" s="107"/>
    </row>
    <row r="53" spans="1:28" x14ac:dyDescent="0.55000000000000004">
      <c r="A53" t="s">
        <v>255</v>
      </c>
      <c r="B53" s="141">
        <v>1.0999999999999999E-2</v>
      </c>
      <c r="C53" s="141">
        <f>AVERAGE('Op Metrics - feeder'!AE69,'Op Metrics - feeder'!AF69,'Op Metrics - feeder'!AG69,'Op Metrics - feeder'!AH69)</f>
        <v>1.0375000000000001E-2</v>
      </c>
      <c r="D53" s="141">
        <f>AVERAGE('Op Metrics - feeder'!AI69,'Op Metrics - feeder'!AJ69,'Op Metrics - feeder'!AK69,'Op Metrics - feeder'!AL69)</f>
        <v>8.8750000000000009E-3</v>
      </c>
      <c r="E53" s="150">
        <v>8.5000000000000006E-3</v>
      </c>
      <c r="F53" s="150">
        <v>8.5000000000000006E-3</v>
      </c>
      <c r="G53" s="150">
        <v>8.5000000000000006E-3</v>
      </c>
      <c r="H53" s="150">
        <v>8.5000000000000006E-3</v>
      </c>
      <c r="I53" s="150">
        <v>8.5000000000000006E-3</v>
      </c>
      <c r="J53" s="150">
        <v>8.5000000000000006E-3</v>
      </c>
      <c r="K53" s="150">
        <v>8.5000000000000006E-3</v>
      </c>
      <c r="Y53">
        <v>12</v>
      </c>
      <c r="Z53">
        <v>12</v>
      </c>
    </row>
    <row r="54" spans="1:28" x14ac:dyDescent="0.55000000000000004">
      <c r="A54" s="90" t="s">
        <v>256</v>
      </c>
      <c r="B54" s="165">
        <f t="shared" ref="B54:G54" si="11">B53*(B42*1000)</f>
        <v>216.7</v>
      </c>
      <c r="C54" s="165">
        <f t="shared" si="11"/>
        <v>219.95000000000002</v>
      </c>
      <c r="D54" s="165">
        <f t="shared" si="11"/>
        <v>242.28750000000002</v>
      </c>
      <c r="E54" s="165">
        <f t="shared" si="11"/>
        <v>280.78050000000002</v>
      </c>
      <c r="F54" s="165">
        <f t="shared" si="11"/>
        <v>350.97562500000009</v>
      </c>
      <c r="G54" s="165">
        <f t="shared" si="11"/>
        <v>449.24880000000013</v>
      </c>
      <c r="H54" s="165">
        <f>H53*(H42*1000)</f>
        <v>561.56100000000015</v>
      </c>
      <c r="I54" s="165">
        <f>I53*(I42*1000)</f>
        <v>673.87320000000011</v>
      </c>
      <c r="J54" s="165">
        <f>J53*(J42*1000)</f>
        <v>774.95418000000018</v>
      </c>
      <c r="K54" s="165">
        <f>K53*(K42*1000)</f>
        <v>891.19730700000014</v>
      </c>
      <c r="M54" s="117">
        <f>C54/B54-1</f>
        <v>1.4997692662667372E-2</v>
      </c>
      <c r="N54" s="117"/>
      <c r="O54" s="117">
        <f t="shared" ref="O54:R55" si="12">D54/C54-1</f>
        <v>0.10155717208456472</v>
      </c>
      <c r="P54" s="117">
        <f t="shared" si="12"/>
        <v>0.15887323943661968</v>
      </c>
      <c r="Q54" s="117">
        <f t="shared" si="12"/>
        <v>0.25000000000000022</v>
      </c>
      <c r="R54" s="117">
        <f t="shared" si="12"/>
        <v>0.28000000000000003</v>
      </c>
      <c r="S54" s="90"/>
      <c r="X54" s="90"/>
      <c r="Y54" s="165">
        <v>94.5</v>
      </c>
      <c r="Z54" s="165">
        <v>194</v>
      </c>
      <c r="AA54" s="107"/>
    </row>
    <row r="55" spans="1:28" x14ac:dyDescent="0.55000000000000004">
      <c r="A55" s="108" t="s">
        <v>257</v>
      </c>
      <c r="B55" s="160">
        <f t="shared" ref="B55:K55" si="13">B48-B54</f>
        <v>384.3</v>
      </c>
      <c r="C55" s="160">
        <f t="shared" si="13"/>
        <v>368.20100000000025</v>
      </c>
      <c r="D55" s="160">
        <f t="shared" si="13"/>
        <v>512.88349999999934</v>
      </c>
      <c r="E55" s="160">
        <f t="shared" si="13"/>
        <v>611.1105</v>
      </c>
      <c r="F55" s="160">
        <f t="shared" si="13"/>
        <v>763.88812499999995</v>
      </c>
      <c r="G55" s="160">
        <f t="shared" si="13"/>
        <v>977.77680000000032</v>
      </c>
      <c r="H55" s="160">
        <f t="shared" si="13"/>
        <v>1222.2210000000002</v>
      </c>
      <c r="I55" s="160">
        <f t="shared" si="13"/>
        <v>1466.6652000000004</v>
      </c>
      <c r="J55" s="160">
        <f t="shared" si="13"/>
        <v>1686.6649800000005</v>
      </c>
      <c r="K55" s="160">
        <f t="shared" si="13"/>
        <v>1939.6647269999996</v>
      </c>
      <c r="M55" s="166">
        <f>C55/B55-1</f>
        <v>-4.1891751236012964E-2</v>
      </c>
      <c r="N55" s="166"/>
      <c r="O55" s="166">
        <f t="shared" si="12"/>
        <v>0.39294434289966351</v>
      </c>
      <c r="P55" s="166">
        <f t="shared" si="12"/>
        <v>0.1915191266632692</v>
      </c>
      <c r="Q55" s="166">
        <f t="shared" si="12"/>
        <v>0.25</v>
      </c>
      <c r="R55" s="166">
        <f t="shared" si="12"/>
        <v>0.28000000000000047</v>
      </c>
      <c r="S55" s="108"/>
      <c r="X55" s="108">
        <v>119.3</v>
      </c>
      <c r="Y55" s="108">
        <v>250.2</v>
      </c>
      <c r="Z55" s="108">
        <v>434.1</v>
      </c>
      <c r="AA55" s="108"/>
      <c r="AB55" t="s">
        <v>362</v>
      </c>
    </row>
    <row r="56" spans="1:28" x14ac:dyDescent="0.55000000000000004">
      <c r="A56" t="s">
        <v>278</v>
      </c>
      <c r="B56" s="112">
        <f t="shared" ref="B56:G56" si="14">B55/B46</f>
        <v>0.46134453781512608</v>
      </c>
      <c r="C56" s="112">
        <f t="shared" si="14"/>
        <v>0.45379376472792199</v>
      </c>
      <c r="D56" s="112">
        <f t="shared" si="14"/>
        <v>0.48981656834684162</v>
      </c>
      <c r="E56" s="112">
        <f t="shared" si="14"/>
        <v>0.49333333333333335</v>
      </c>
      <c r="F56" s="112">
        <f t="shared" si="14"/>
        <v>0.49333333333333329</v>
      </c>
      <c r="G56" s="112">
        <f t="shared" si="14"/>
        <v>0.49333333333333346</v>
      </c>
      <c r="H56" s="112">
        <f>H55/H46</f>
        <v>0.49333333333333335</v>
      </c>
      <c r="I56" s="112">
        <f>I55/I46</f>
        <v>0.49333333333333335</v>
      </c>
      <c r="J56" s="112">
        <f>J55/J46</f>
        <v>0.4933333333333334</v>
      </c>
      <c r="K56" s="112">
        <f>K55/K46</f>
        <v>0.49333333333333323</v>
      </c>
      <c r="X56" s="112">
        <f>X55/X46</f>
        <v>0.45170230811171014</v>
      </c>
      <c r="Y56" s="112">
        <f>Y55/Y46</f>
        <v>0.48194070703899256</v>
      </c>
      <c r="Z56" s="112">
        <f>Z55/Z46</f>
        <v>0.46946478203034603</v>
      </c>
      <c r="AA56" s="112"/>
    </row>
    <row r="57" spans="1:28" x14ac:dyDescent="0.55000000000000004">
      <c r="B57" s="107"/>
    </row>
    <row r="58" spans="1:28" x14ac:dyDescent="0.55000000000000004">
      <c r="A58" t="s">
        <v>359</v>
      </c>
      <c r="B58" s="107"/>
      <c r="X58" s="107"/>
      <c r="Y58" s="107">
        <f>Y55-Y67</f>
        <v>255.2</v>
      </c>
      <c r="Z58" s="107">
        <f>Z55-Z67</f>
        <v>599.1</v>
      </c>
      <c r="AA58" s="107"/>
    </row>
    <row r="59" spans="1:28" x14ac:dyDescent="0.55000000000000004">
      <c r="A59" s="164" t="s">
        <v>356</v>
      </c>
      <c r="B59" s="107"/>
      <c r="Y59" s="107"/>
      <c r="Z59" s="107"/>
      <c r="AA59" s="107"/>
    </row>
    <row r="60" spans="1:28" x14ac:dyDescent="0.55000000000000004">
      <c r="A60" s="163" t="s">
        <v>360</v>
      </c>
      <c r="B60" s="107"/>
      <c r="Y60" s="107">
        <v>86</v>
      </c>
      <c r="Z60" s="107">
        <v>150</v>
      </c>
      <c r="AA60" s="107"/>
    </row>
    <row r="61" spans="1:28" x14ac:dyDescent="0.55000000000000004">
      <c r="A61" s="163" t="s">
        <v>361</v>
      </c>
      <c r="B61" s="107"/>
      <c r="Y61" s="107">
        <v>31</v>
      </c>
      <c r="Z61" s="107">
        <v>59</v>
      </c>
      <c r="AA61" s="107"/>
    </row>
    <row r="62" spans="1:28" x14ac:dyDescent="0.55000000000000004">
      <c r="A62" s="163" t="s">
        <v>357</v>
      </c>
      <c r="B62" s="107"/>
      <c r="Y62" s="107">
        <v>70</v>
      </c>
      <c r="Z62" s="107">
        <v>169</v>
      </c>
      <c r="AA62" s="107"/>
    </row>
    <row r="63" spans="1:28" x14ac:dyDescent="0.55000000000000004">
      <c r="A63" s="163" t="s">
        <v>358</v>
      </c>
      <c r="B63" s="107"/>
      <c r="Y63" s="107">
        <v>33</v>
      </c>
      <c r="Z63" s="107">
        <v>56</v>
      </c>
      <c r="AA63" s="107"/>
    </row>
    <row r="64" spans="1:28" x14ac:dyDescent="0.55000000000000004">
      <c r="A64" s="163" t="s">
        <v>365</v>
      </c>
      <c r="B64" s="107"/>
      <c r="Y64" s="107">
        <v>2</v>
      </c>
      <c r="Z64" s="107">
        <v>97</v>
      </c>
      <c r="AA64" s="107"/>
    </row>
    <row r="65" spans="1:27" x14ac:dyDescent="0.55000000000000004">
      <c r="A65" s="163" t="s">
        <v>363</v>
      </c>
      <c r="B65" s="107"/>
      <c r="Y65" s="107">
        <v>30</v>
      </c>
      <c r="Z65" s="107">
        <v>39</v>
      </c>
      <c r="AA65" s="107"/>
    </row>
    <row r="66" spans="1:27" x14ac:dyDescent="0.55000000000000004">
      <c r="A66" s="167" t="s">
        <v>364</v>
      </c>
      <c r="B66" s="165"/>
      <c r="C66" s="90"/>
      <c r="D66" s="90"/>
      <c r="E66" s="90"/>
      <c r="F66" s="90"/>
      <c r="G66" s="90"/>
      <c r="H66" s="90"/>
      <c r="I66" s="90"/>
      <c r="J66" s="90"/>
      <c r="K66" s="90"/>
      <c r="M66" s="90"/>
      <c r="N66" s="90"/>
      <c r="O66" s="90"/>
      <c r="P66" s="90"/>
      <c r="Q66" s="90"/>
      <c r="R66" s="90"/>
      <c r="S66" s="90"/>
      <c r="X66" s="90"/>
      <c r="Y66" s="165">
        <f>Y58-Y60-Y61-Y62-Y63-Y65-Y64</f>
        <v>3.1999999999999886</v>
      </c>
      <c r="Z66" s="165">
        <f>Z58-Z60-Z61-Z62-Z63-Z65-Z64</f>
        <v>29.100000000000023</v>
      </c>
      <c r="AA66" s="107"/>
    </row>
    <row r="67" spans="1:27" x14ac:dyDescent="0.55000000000000004">
      <c r="A67" t="s">
        <v>354</v>
      </c>
      <c r="B67" s="107">
        <f>B68*B46</f>
        <v>-148.64221830490879</v>
      </c>
      <c r="C67" s="107">
        <f>C68*C46</f>
        <v>-202.846</v>
      </c>
      <c r="D67" s="107">
        <f>D68*D46</f>
        <v>-209.41859999999997</v>
      </c>
      <c r="E67" s="107">
        <f>E68*E46</f>
        <v>-123.87375</v>
      </c>
      <c r="F67" s="107">
        <f t="shared" ref="F67:K67" si="15">F68*F46</f>
        <v>0</v>
      </c>
      <c r="G67" s="107">
        <f t="shared" si="15"/>
        <v>99.099000000000018</v>
      </c>
      <c r="H67" s="107">
        <f t="shared" si="15"/>
        <v>247.74750000000006</v>
      </c>
      <c r="I67" s="107">
        <f t="shared" si="15"/>
        <v>297.29700000000008</v>
      </c>
      <c r="J67" s="107">
        <f t="shared" si="15"/>
        <v>341.89155000000005</v>
      </c>
      <c r="K67" s="107">
        <f t="shared" si="15"/>
        <v>393.17528250000004</v>
      </c>
      <c r="Y67">
        <v>-5</v>
      </c>
      <c r="Z67">
        <v>-165</v>
      </c>
    </row>
    <row r="68" spans="1:27" x14ac:dyDescent="0.55000000000000004">
      <c r="A68" t="s">
        <v>171</v>
      </c>
      <c r="B68" s="113">
        <f>Z68</f>
        <v>-0.17844203878140311</v>
      </c>
      <c r="C68" s="179">
        <v>-0.25</v>
      </c>
      <c r="D68" s="179">
        <v>-0.2</v>
      </c>
      <c r="E68" s="179">
        <v>-0.1</v>
      </c>
      <c r="F68" s="179">
        <v>0</v>
      </c>
      <c r="G68" s="179">
        <v>0.05</v>
      </c>
      <c r="H68" s="179">
        <v>0.1</v>
      </c>
      <c r="I68" s="179">
        <v>0.1</v>
      </c>
      <c r="J68" s="179">
        <v>0.1</v>
      </c>
      <c r="K68" s="179">
        <v>0.1</v>
      </c>
      <c r="Z68" s="113">
        <f>Z67/Z46</f>
        <v>-0.17844203878140311</v>
      </c>
      <c r="AA68" s="113"/>
    </row>
    <row r="69" spans="1:27" x14ac:dyDescent="0.55000000000000004">
      <c r="A69" t="s">
        <v>355</v>
      </c>
      <c r="B69" s="107"/>
      <c r="Y69">
        <v>-27</v>
      </c>
      <c r="Z69">
        <v>-194</v>
      </c>
    </row>
    <row r="70" spans="1:27" x14ac:dyDescent="0.55000000000000004">
      <c r="B70" s="113"/>
      <c r="C70" s="113"/>
      <c r="D70" s="113"/>
      <c r="E70" s="113"/>
      <c r="F70" s="113"/>
    </row>
    <row r="71" spans="1:27" x14ac:dyDescent="0.55000000000000004">
      <c r="A71" s="108" t="s">
        <v>165</v>
      </c>
      <c r="B71" s="113"/>
      <c r="C71" s="113"/>
      <c r="D71" s="113"/>
      <c r="E71" s="113"/>
      <c r="F71" s="113"/>
    </row>
    <row r="72" spans="1:27" x14ac:dyDescent="0.55000000000000004">
      <c r="A72" s="110" t="s">
        <v>283</v>
      </c>
      <c r="B72" s="147" t="str">
        <f t="shared" ref="B72:G72" si="16">U11</f>
        <v>Q1 22</v>
      </c>
      <c r="C72" s="147" t="str">
        <f t="shared" si="16"/>
        <v>Q2 22</v>
      </c>
      <c r="D72" s="147" t="str">
        <f t="shared" si="16"/>
        <v>Q3 22</v>
      </c>
      <c r="E72" s="147" t="str">
        <f t="shared" si="16"/>
        <v>Q4 22</v>
      </c>
      <c r="F72" s="147" t="str">
        <f t="shared" si="16"/>
        <v>Q1 23</v>
      </c>
      <c r="G72" s="147" t="str">
        <f t="shared" si="16"/>
        <v>Q2 23</v>
      </c>
      <c r="H72" s="147" t="str">
        <f>AB11</f>
        <v>Q3 23</v>
      </c>
      <c r="I72" s="147" t="str">
        <f>AC11</f>
        <v>Q4 23</v>
      </c>
      <c r="J72" s="147" t="str">
        <f>AD11</f>
        <v>Q1 24</v>
      </c>
      <c r="K72" s="147" t="str">
        <f>AE11</f>
        <v>Q2 24</v>
      </c>
      <c r="O72" s="147">
        <v>2022</v>
      </c>
      <c r="P72" s="147">
        <v>2023</v>
      </c>
      <c r="Q72" s="147" t="s">
        <v>284</v>
      </c>
      <c r="R72" s="147" t="s">
        <v>285</v>
      </c>
      <c r="S72" s="147" t="s">
        <v>286</v>
      </c>
      <c r="T72" s="147" t="s">
        <v>423</v>
      </c>
      <c r="U72" s="147" t="s">
        <v>424</v>
      </c>
      <c r="V72" s="147" t="s">
        <v>425</v>
      </c>
      <c r="W72" s="147" t="s">
        <v>426</v>
      </c>
    </row>
    <row r="73" spans="1:27" x14ac:dyDescent="0.55000000000000004">
      <c r="A73" t="s">
        <v>282</v>
      </c>
      <c r="B73" s="115">
        <f>'Op Metrics - feeder'!AE67/1000</f>
        <v>3.5</v>
      </c>
      <c r="C73" s="115">
        <f>'Op Metrics - feeder'!AF67/1000</f>
        <v>5.3</v>
      </c>
      <c r="D73" s="115">
        <f>'Op Metrics - feeder'!AG67/1000</f>
        <v>5.4</v>
      </c>
      <c r="E73" s="115">
        <f>'Op Metrics - feeder'!AH67/1000</f>
        <v>7</v>
      </c>
      <c r="F73" s="115">
        <f>'Op Metrics - feeder'!AI67/1000</f>
        <v>5.6</v>
      </c>
      <c r="G73" s="115">
        <f>'Op Metrics - feeder'!AJ67/1000</f>
        <v>6.4</v>
      </c>
      <c r="H73" s="115">
        <f>'Op Metrics - feeder'!AK67/1000</f>
        <v>6.7</v>
      </c>
      <c r="I73" s="115">
        <f>'Op Metrics - feeder'!AL67/1000</f>
        <v>8.6</v>
      </c>
      <c r="J73" s="115">
        <f>'Op Metrics - feeder'!AM67/1000</f>
        <v>6.98</v>
      </c>
      <c r="K73" s="115">
        <f>'Op Metrics - feeder'!AN67/1000</f>
        <v>7.75</v>
      </c>
      <c r="O73" s="115">
        <f>SUM(B73:E73)</f>
        <v>21.200000000000003</v>
      </c>
      <c r="P73" s="115">
        <f>SUM(F73:I73)</f>
        <v>27.299999999999997</v>
      </c>
    </row>
    <row r="74" spans="1:27" x14ac:dyDescent="0.55000000000000004">
      <c r="A74" t="s">
        <v>279</v>
      </c>
      <c r="B74" s="115"/>
      <c r="C74" s="115"/>
      <c r="D74" s="115"/>
      <c r="E74" s="115"/>
      <c r="F74" s="113">
        <f t="shared" ref="F74:K74" si="17">F73/B73-1</f>
        <v>0.59999999999999987</v>
      </c>
      <c r="G74" s="113">
        <f t="shared" si="17"/>
        <v>0.20754716981132093</v>
      </c>
      <c r="H74" s="113">
        <f t="shared" si="17"/>
        <v>0.2407407407407407</v>
      </c>
      <c r="I74" s="113">
        <f t="shared" si="17"/>
        <v>0.22857142857142843</v>
      </c>
      <c r="J74" s="113">
        <f t="shared" si="17"/>
        <v>0.24642857142857166</v>
      </c>
      <c r="K74" s="113">
        <f t="shared" si="17"/>
        <v>0.2109375</v>
      </c>
    </row>
    <row r="75" spans="1:27" x14ac:dyDescent="0.55000000000000004">
      <c r="A75" t="s">
        <v>90</v>
      </c>
      <c r="B75" s="115">
        <f t="shared" ref="B75:G75" si="18">U25</f>
        <v>129.76400000000012</v>
      </c>
      <c r="C75" s="115">
        <f t="shared" si="18"/>
        <v>208.125</v>
      </c>
      <c r="D75" s="115">
        <f t="shared" si="18"/>
        <v>209.93299999999999</v>
      </c>
      <c r="E75" s="115">
        <f t="shared" si="18"/>
        <v>263.5619999999999</v>
      </c>
      <c r="F75" s="115">
        <f t="shared" si="18"/>
        <v>223.71600000000035</v>
      </c>
      <c r="G75" s="115">
        <f t="shared" si="18"/>
        <v>235.4369999999999</v>
      </c>
      <c r="H75" s="115">
        <f>AB25</f>
        <v>257.9399999999996</v>
      </c>
      <c r="I75" s="115">
        <f>AC25</f>
        <v>330</v>
      </c>
      <c r="J75" s="115">
        <f>AD25</f>
        <v>279.64500000000044</v>
      </c>
      <c r="K75" s="115">
        <f>AE25</f>
        <v>284.87876999999986</v>
      </c>
      <c r="O75" s="115">
        <f>SUM(B75:E75)</f>
        <v>811.38400000000001</v>
      </c>
      <c r="P75" s="115">
        <f>SUM(F75:I75)</f>
        <v>1047.0929999999998</v>
      </c>
    </row>
    <row r="76" spans="1:27" x14ac:dyDescent="0.55000000000000004">
      <c r="B76" s="115"/>
      <c r="C76" s="115"/>
      <c r="D76" s="115"/>
      <c r="E76" s="115"/>
      <c r="F76" s="113">
        <f t="shared" ref="F76:K76" si="19">F75/B75-1</f>
        <v>0.72402207083628856</v>
      </c>
      <c r="G76" s="113">
        <f t="shared" si="19"/>
        <v>0.13122882882882836</v>
      </c>
      <c r="H76" s="113">
        <f t="shared" si="19"/>
        <v>0.22867772098717021</v>
      </c>
      <c r="I76" s="113">
        <f t="shared" si="19"/>
        <v>0.25207731008263767</v>
      </c>
      <c r="J76" s="113">
        <f t="shared" si="19"/>
        <v>0.25</v>
      </c>
      <c r="K76" s="113">
        <f t="shared" si="19"/>
        <v>0.20999999999999996</v>
      </c>
    </row>
    <row r="77" spans="1:27" x14ac:dyDescent="0.55000000000000004">
      <c r="B77" s="115"/>
      <c r="C77" s="115"/>
      <c r="D77" s="115"/>
      <c r="E77" s="115"/>
      <c r="F77" s="113"/>
      <c r="G77" s="113"/>
      <c r="H77" s="113"/>
      <c r="I77" s="113"/>
      <c r="J77" s="113"/>
    </row>
    <row r="78" spans="1:27" x14ac:dyDescent="0.55000000000000004">
      <c r="A78" t="s">
        <v>253</v>
      </c>
      <c r="B78" s="112">
        <f t="shared" ref="B78:I78" si="20">B75/(B73*1000)</f>
        <v>3.7075428571428606E-2</v>
      </c>
      <c r="C78" s="112">
        <f t="shared" si="20"/>
        <v>3.92688679245283E-2</v>
      </c>
      <c r="D78" s="112">
        <f t="shared" si="20"/>
        <v>3.8876481481481477E-2</v>
      </c>
      <c r="E78" s="112">
        <f t="shared" si="20"/>
        <v>3.7651714285714274E-2</v>
      </c>
      <c r="F78" s="112">
        <f t="shared" si="20"/>
        <v>3.9949285714285777E-2</v>
      </c>
      <c r="G78" s="112">
        <f t="shared" si="20"/>
        <v>3.6787031249999984E-2</v>
      </c>
      <c r="H78" s="112">
        <f t="shared" si="20"/>
        <v>3.8498507462686508E-2</v>
      </c>
      <c r="I78" s="112">
        <f t="shared" si="20"/>
        <v>3.8372093023255817E-2</v>
      </c>
      <c r="J78" s="148">
        <f>F78</f>
        <v>3.9949285714285777E-2</v>
      </c>
    </row>
    <row r="79" spans="1:27" x14ac:dyDescent="0.55000000000000004">
      <c r="A79" t="s">
        <v>179</v>
      </c>
      <c r="B79" s="115">
        <f t="shared" ref="B79:G79" si="21">U27</f>
        <v>92.280999999999949</v>
      </c>
      <c r="C79" s="115">
        <f t="shared" si="21"/>
        <v>149.64800000000014</v>
      </c>
      <c r="D79" s="115">
        <f t="shared" si="21"/>
        <v>149.73000000000002</v>
      </c>
      <c r="E79" s="115">
        <f t="shared" si="21"/>
        <v>196.49200000000019</v>
      </c>
      <c r="F79" s="115">
        <f t="shared" si="21"/>
        <v>157.42800000000079</v>
      </c>
      <c r="G79" s="115">
        <f t="shared" si="21"/>
        <v>168.47999999999956</v>
      </c>
      <c r="H79" s="115">
        <f>AB27</f>
        <v>187.26299999999901</v>
      </c>
      <c r="I79" s="115">
        <f>AC27</f>
        <v>242</v>
      </c>
      <c r="J79" s="115">
        <f>AD27</f>
        <v>205.07300000000029</v>
      </c>
    </row>
    <row r="80" spans="1:27" x14ac:dyDescent="0.55000000000000004">
      <c r="A80" t="s">
        <v>279</v>
      </c>
      <c r="B80" s="115"/>
      <c r="C80" s="115"/>
      <c r="D80" s="115"/>
      <c r="E80" s="115"/>
      <c r="F80" s="113">
        <f>F79/B79-1</f>
        <v>0.70596330772315952</v>
      </c>
      <c r="G80" s="113">
        <f>G79/C79-1</f>
        <v>0.12584197583662604</v>
      </c>
      <c r="H80" s="113">
        <f>H79/D79-1</f>
        <v>0.25067120817470778</v>
      </c>
      <c r="I80" s="113">
        <f>I79/E79-1</f>
        <v>0.23160230441951724</v>
      </c>
      <c r="J80" s="113">
        <f>J79/F79-1</f>
        <v>0.30264628909723346</v>
      </c>
    </row>
    <row r="81" spans="1:10" x14ac:dyDescent="0.55000000000000004">
      <c r="A81" t="s">
        <v>171</v>
      </c>
      <c r="B81" s="112">
        <f>B79/B75</f>
        <v>0.71114484756943264</v>
      </c>
      <c r="C81" s="112">
        <f t="shared" ref="C81:J81" si="22">C79/C75</f>
        <v>0.71902942942943004</v>
      </c>
      <c r="D81" s="112">
        <f t="shared" si="22"/>
        <v>0.71322755355280032</v>
      </c>
      <c r="E81" s="112">
        <f t="shared" si="22"/>
        <v>0.74552477215987234</v>
      </c>
      <c r="F81" s="112">
        <f t="shared" si="22"/>
        <v>0.70369575712063759</v>
      </c>
      <c r="G81" s="112">
        <f t="shared" si="22"/>
        <v>0.71560544859134134</v>
      </c>
      <c r="H81" s="112">
        <f t="shared" si="22"/>
        <v>0.72599441730634762</v>
      </c>
      <c r="I81" s="112">
        <f t="shared" si="22"/>
        <v>0.73333333333333328</v>
      </c>
      <c r="J81" s="112">
        <f t="shared" si="22"/>
        <v>0.73333333333333328</v>
      </c>
    </row>
    <row r="82" spans="1:10" x14ac:dyDescent="0.55000000000000004">
      <c r="B82" s="112"/>
      <c r="C82" s="112"/>
      <c r="D82" s="112"/>
      <c r="E82" s="112"/>
      <c r="F82" s="112"/>
      <c r="G82" s="112"/>
      <c r="H82" s="112"/>
      <c r="I82" s="112"/>
      <c r="J82" s="112"/>
    </row>
    <row r="83" spans="1:10" x14ac:dyDescent="0.55000000000000004">
      <c r="A83" t="s">
        <v>280</v>
      </c>
      <c r="B83" s="115">
        <f>'Op Metrics - feeder'!AE69*B73*1000</f>
        <v>40.950000000000003</v>
      </c>
      <c r="C83" s="115">
        <f>'Op Metrics - feeder'!AF69*C73*1000</f>
        <v>54.06</v>
      </c>
      <c r="D83" s="115">
        <f>'Op Metrics - feeder'!AG69*D73*1000</f>
        <v>51.839999999999996</v>
      </c>
      <c r="E83" s="115">
        <f>'Op Metrics - feeder'!AH69*E73*1000</f>
        <v>70</v>
      </c>
      <c r="F83" s="115">
        <f>'Op Metrics - feeder'!AI69*F73*1000</f>
        <v>39.199999999999996</v>
      </c>
      <c r="G83" s="115">
        <f>'Op Metrics - feeder'!AJ69*G73*1000</f>
        <v>64.64</v>
      </c>
      <c r="H83" s="115">
        <f>'Op Metrics - feeder'!AK69*H73*1000</f>
        <v>56.279999999999994</v>
      </c>
      <c r="I83" s="115">
        <f>'Op Metrics - feeder'!AL69*I73*1000</f>
        <v>86</v>
      </c>
      <c r="J83" s="115">
        <f>'Op Metrics - feeder'!AM69*J73*1000</f>
        <v>55.840000000000011</v>
      </c>
    </row>
    <row r="84" spans="1:10" x14ac:dyDescent="0.55000000000000004">
      <c r="A84" t="s">
        <v>245</v>
      </c>
      <c r="B84" s="113">
        <f t="shared" ref="B84:I84" si="23">B83/B75</f>
        <v>0.31557288616257179</v>
      </c>
      <c r="C84" s="113">
        <f t="shared" si="23"/>
        <v>0.25974774774774778</v>
      </c>
      <c r="D84" s="113">
        <f t="shared" si="23"/>
        <v>0.24693592717676591</v>
      </c>
      <c r="E84" s="113">
        <f t="shared" si="23"/>
        <v>0.26559215668419583</v>
      </c>
      <c r="F84" s="113">
        <f t="shared" si="23"/>
        <v>0.1752221566629116</v>
      </c>
      <c r="G84" s="113">
        <f t="shared" si="23"/>
        <v>0.27455327752222475</v>
      </c>
      <c r="H84" s="113">
        <f t="shared" si="23"/>
        <v>0.21819027680856046</v>
      </c>
      <c r="I84" s="113">
        <f t="shared" si="23"/>
        <v>0.26060606060606062</v>
      </c>
      <c r="J84" s="113">
        <f>J83/J75</f>
        <v>0.19968173934810179</v>
      </c>
    </row>
    <row r="85" spans="1:10" x14ac:dyDescent="0.55000000000000004">
      <c r="A85" t="s">
        <v>281</v>
      </c>
      <c r="B85" s="115">
        <f>B79-B83</f>
        <v>51.330999999999946</v>
      </c>
      <c r="C85" s="115">
        <f t="shared" ref="C85:J85" si="24">C79-C83</f>
        <v>95.588000000000136</v>
      </c>
      <c r="D85" s="115">
        <f t="shared" si="24"/>
        <v>97.890000000000015</v>
      </c>
      <c r="E85" s="115">
        <f t="shared" si="24"/>
        <v>126.49200000000019</v>
      </c>
      <c r="F85" s="115">
        <f t="shared" si="24"/>
        <v>118.2280000000008</v>
      </c>
      <c r="G85" s="115">
        <f t="shared" si="24"/>
        <v>103.83999999999956</v>
      </c>
      <c r="H85" s="115">
        <f t="shared" si="24"/>
        <v>130.98299999999901</v>
      </c>
      <c r="I85" s="115">
        <f t="shared" si="24"/>
        <v>156</v>
      </c>
      <c r="J85" s="115">
        <f t="shared" si="24"/>
        <v>149.23300000000029</v>
      </c>
    </row>
    <row r="86" spans="1:10" x14ac:dyDescent="0.55000000000000004">
      <c r="A86" t="s">
        <v>279</v>
      </c>
      <c r="B86" s="115"/>
      <c r="C86" s="115"/>
      <c r="D86" s="115"/>
      <c r="E86" s="115"/>
      <c r="F86" s="113">
        <f>F85/B85-1</f>
        <v>1.3032475502133396</v>
      </c>
      <c r="G86" s="113">
        <f>G85/C85-1</f>
        <v>8.6328827886339443E-2</v>
      </c>
      <c r="H86" s="113">
        <f>H85/D85-1</f>
        <v>0.33806313208702621</v>
      </c>
      <c r="I86" s="113">
        <f>I85/E85-1</f>
        <v>0.2332795749928831</v>
      </c>
      <c r="J86" s="113">
        <f>J85/F85-1</f>
        <v>0.2622475217376532</v>
      </c>
    </row>
    <row r="87" spans="1:10" x14ac:dyDescent="0.55000000000000004">
      <c r="A87" t="s">
        <v>171</v>
      </c>
      <c r="B87" s="112">
        <f>B85/B75</f>
        <v>0.39557196140686091</v>
      </c>
      <c r="C87" s="112">
        <f t="shared" ref="C87:J87" si="25">C85/C75</f>
        <v>0.45928168168168232</v>
      </c>
      <c r="D87" s="112">
        <f t="shared" si="25"/>
        <v>0.46629162637603433</v>
      </c>
      <c r="E87" s="112">
        <f t="shared" si="25"/>
        <v>0.47993261547567645</v>
      </c>
      <c r="F87" s="112">
        <f t="shared" si="25"/>
        <v>0.52847360045772596</v>
      </c>
      <c r="G87" s="112">
        <f t="shared" si="25"/>
        <v>0.44105217106911659</v>
      </c>
      <c r="H87" s="112">
        <f t="shared" si="25"/>
        <v>0.5078041404977871</v>
      </c>
      <c r="I87" s="112">
        <f t="shared" si="25"/>
        <v>0.47272727272727272</v>
      </c>
      <c r="J87" s="112">
        <f t="shared" si="25"/>
        <v>0.53365159398523143</v>
      </c>
    </row>
    <row r="88" spans="1:10" x14ac:dyDescent="0.55000000000000004">
      <c r="B88" s="112"/>
      <c r="C88" s="112"/>
      <c r="D88" s="112"/>
      <c r="E88" s="112"/>
      <c r="F88" s="112"/>
      <c r="G88" s="112"/>
      <c r="H88" s="112"/>
      <c r="I88" s="112"/>
      <c r="J88" s="112"/>
    </row>
    <row r="89" spans="1:10" x14ac:dyDescent="0.55000000000000004">
      <c r="A89" t="s">
        <v>175</v>
      </c>
    </row>
    <row r="90" spans="1:10" x14ac:dyDescent="0.55000000000000004">
      <c r="A90" t="s">
        <v>287</v>
      </c>
      <c r="B90" s="107">
        <f>C3/C55</f>
        <v>37.479528844299693</v>
      </c>
    </row>
    <row r="92" spans="1:10" x14ac:dyDescent="0.55000000000000004">
      <c r="A92" t="s">
        <v>368</v>
      </c>
      <c r="B92" s="162">
        <f>C317</f>
        <v>10.346128423003206</v>
      </c>
    </row>
    <row r="93" spans="1:10" x14ac:dyDescent="0.55000000000000004">
      <c r="A93" t="s">
        <v>353</v>
      </c>
      <c r="B93" s="107">
        <f>B92*E55</f>
        <v>6322.6277136457011</v>
      </c>
    </row>
    <row r="95" spans="1:10" x14ac:dyDescent="0.55000000000000004">
      <c r="A95" s="110" t="s">
        <v>172</v>
      </c>
      <c r="B95" s="111" t="s">
        <v>140</v>
      </c>
      <c r="C95" s="111" t="s">
        <v>144</v>
      </c>
    </row>
    <row r="96" spans="1:10" x14ac:dyDescent="0.55000000000000004">
      <c r="A96" t="s">
        <v>173</v>
      </c>
      <c r="B96" s="106">
        <f>C96/1.25</f>
        <v>5.5840000000000005</v>
      </c>
      <c r="C96">
        <v>6.98</v>
      </c>
    </row>
    <row r="97" spans="1:6" x14ac:dyDescent="0.55000000000000004">
      <c r="A97" t="s">
        <v>90</v>
      </c>
      <c r="B97" s="107">
        <f>Y25</f>
        <v>223.71600000000035</v>
      </c>
    </row>
    <row r="98" spans="1:6" x14ac:dyDescent="0.55000000000000004">
      <c r="A98" t="s">
        <v>174</v>
      </c>
      <c r="B98" s="112">
        <f>B97/(B96*1000)</f>
        <v>4.0063753581661948E-2</v>
      </c>
    </row>
    <row r="101" spans="1:6" x14ac:dyDescent="0.55000000000000004">
      <c r="A101" s="110"/>
      <c r="B101" s="111" t="str">
        <f>B95</f>
        <v>Q1 23</v>
      </c>
      <c r="C101" s="111" t="str">
        <f>C95</f>
        <v>Q1 24</v>
      </c>
    </row>
    <row r="102" spans="1:6" x14ac:dyDescent="0.55000000000000004">
      <c r="A102" t="s">
        <v>176</v>
      </c>
      <c r="C102" s="114">
        <f>Interims!P49</f>
        <v>2731.1239999999998</v>
      </c>
    </row>
    <row r="103" spans="1:6" x14ac:dyDescent="0.55000000000000004">
      <c r="A103" t="s">
        <v>177</v>
      </c>
      <c r="C103" s="114">
        <f>Interims!P57</f>
        <v>2651.01</v>
      </c>
    </row>
    <row r="104" spans="1:6" x14ac:dyDescent="0.55000000000000004">
      <c r="A104" t="s">
        <v>156</v>
      </c>
      <c r="C104" s="114">
        <f>C102-C103</f>
        <v>80.113999999999578</v>
      </c>
    </row>
    <row r="105" spans="1:6" x14ac:dyDescent="0.55000000000000004">
      <c r="A105" t="s">
        <v>178</v>
      </c>
      <c r="C105" s="112">
        <f>C104/C102</f>
        <v>2.9333710223336466E-2</v>
      </c>
    </row>
    <row r="108" spans="1:6" x14ac:dyDescent="0.55000000000000004">
      <c r="A108" s="110" t="s">
        <v>181</v>
      </c>
      <c r="B108" s="110"/>
      <c r="C108" s="111" t="s">
        <v>144</v>
      </c>
      <c r="D108" s="111" t="s">
        <v>186</v>
      </c>
    </row>
    <row r="109" spans="1:6" x14ac:dyDescent="0.55000000000000004">
      <c r="A109" t="s">
        <v>172</v>
      </c>
      <c r="C109" s="114">
        <f>AD27</f>
        <v>205.07300000000029</v>
      </c>
      <c r="D109" s="112">
        <f>C109/C$116</f>
        <v>9.791150327552578E-2</v>
      </c>
    </row>
    <row r="110" spans="1:6" x14ac:dyDescent="0.55000000000000004">
      <c r="A110" t="s">
        <v>180</v>
      </c>
      <c r="C110" s="114">
        <f>C104</f>
        <v>80.113999999999578</v>
      </c>
      <c r="D110" s="112">
        <f>C110/C$116</f>
        <v>3.825019467904317E-2</v>
      </c>
      <c r="F110" t="s">
        <v>185</v>
      </c>
    </row>
    <row r="111" spans="1:6" x14ac:dyDescent="0.55000000000000004">
      <c r="A111" s="90" t="s">
        <v>182</v>
      </c>
      <c r="B111" s="90"/>
      <c r="C111" s="116">
        <f>C112-C109-C110</f>
        <v>973.34000000000015</v>
      </c>
      <c r="D111" s="117">
        <f>C111/C$116</f>
        <v>0.46471833248745636</v>
      </c>
    </row>
    <row r="112" spans="1:6" x14ac:dyDescent="0.55000000000000004">
      <c r="A112" t="s">
        <v>163</v>
      </c>
      <c r="C112" s="114">
        <f>'Segment feeder'!W23/1000</f>
        <v>1258.527</v>
      </c>
      <c r="D112" s="112">
        <f>C112/C$116</f>
        <v>0.60088003044202531</v>
      </c>
    </row>
    <row r="113" spans="1:6" x14ac:dyDescent="0.55000000000000004">
      <c r="C113" s="114"/>
    </row>
    <row r="114" spans="1:6" x14ac:dyDescent="0.55000000000000004">
      <c r="A114" t="s">
        <v>162</v>
      </c>
      <c r="C114" s="114">
        <f>'Segment feeder'!W14/1000</f>
        <v>820.27200000000005</v>
      </c>
      <c r="D114" s="113">
        <f>C114/C$116</f>
        <v>0.39163646416067432</v>
      </c>
    </row>
    <row r="115" spans="1:6" x14ac:dyDescent="0.55000000000000004">
      <c r="A115" s="90" t="s">
        <v>183</v>
      </c>
      <c r="B115" s="90"/>
      <c r="C115" s="116">
        <f>'Segment feeder'!W32/1000</f>
        <v>15.673999999999999</v>
      </c>
      <c r="D115" s="118">
        <f>C115/C$116</f>
        <v>7.4835053973004188E-3</v>
      </c>
    </row>
    <row r="116" spans="1:6" x14ac:dyDescent="0.55000000000000004">
      <c r="A116" t="s">
        <v>184</v>
      </c>
      <c r="C116" s="114">
        <f>Interims!P60</f>
        <v>2094.473</v>
      </c>
      <c r="D116" s="113">
        <f>C116/C$116</f>
        <v>1</v>
      </c>
    </row>
    <row r="119" spans="1:6" x14ac:dyDescent="0.55000000000000004">
      <c r="A119" t="s">
        <v>258</v>
      </c>
      <c r="F119" t="s">
        <v>271</v>
      </c>
    </row>
    <row r="120" spans="1:6" x14ac:dyDescent="0.55000000000000004">
      <c r="B120">
        <v>2022</v>
      </c>
      <c r="C120" s="89" t="s">
        <v>270</v>
      </c>
    </row>
    <row r="121" spans="1:6" x14ac:dyDescent="0.55000000000000004">
      <c r="A121" t="s">
        <v>259</v>
      </c>
      <c r="C121" s="112">
        <v>6.3E-2</v>
      </c>
    </row>
    <row r="122" spans="1:6" x14ac:dyDescent="0.55000000000000004">
      <c r="A122" s="142" t="s">
        <v>261</v>
      </c>
      <c r="C122" s="143">
        <v>6.7000000000000004E-2</v>
      </c>
      <c r="D122" t="s">
        <v>267</v>
      </c>
    </row>
    <row r="123" spans="1:6" x14ac:dyDescent="0.55000000000000004">
      <c r="A123" s="142" t="s">
        <v>262</v>
      </c>
      <c r="C123" s="143">
        <v>3.3000000000000002E-2</v>
      </c>
      <c r="D123" t="s">
        <v>266</v>
      </c>
    </row>
    <row r="124" spans="1:6" x14ac:dyDescent="0.55000000000000004">
      <c r="A124" t="s">
        <v>260</v>
      </c>
      <c r="C124" s="112">
        <v>0.17899999999999999</v>
      </c>
      <c r="D124" t="s">
        <v>266</v>
      </c>
    </row>
    <row r="125" spans="1:6" x14ac:dyDescent="0.55000000000000004">
      <c r="A125" t="s">
        <v>269</v>
      </c>
      <c r="B125" s="112">
        <f>1729/94690</f>
        <v>1.8259583905375437E-2</v>
      </c>
      <c r="C125" s="112">
        <f>1493/94690</f>
        <v>1.5767240468898512E-2</v>
      </c>
    </row>
    <row r="126" spans="1:6" x14ac:dyDescent="0.55000000000000004">
      <c r="A126" t="s">
        <v>268</v>
      </c>
      <c r="C126" s="112">
        <f>1138/94690</f>
        <v>1.2018164536909917E-2</v>
      </c>
      <c r="D126" t="s">
        <v>265</v>
      </c>
    </row>
    <row r="127" spans="1:6" x14ac:dyDescent="0.55000000000000004">
      <c r="A127" t="s">
        <v>264</v>
      </c>
    </row>
    <row r="129" spans="1:4" x14ac:dyDescent="0.55000000000000004">
      <c r="A129" s="108" t="s">
        <v>263</v>
      </c>
    </row>
    <row r="130" spans="1:4" x14ac:dyDescent="0.55000000000000004">
      <c r="A130" t="s">
        <v>272</v>
      </c>
      <c r="C130">
        <v>82115</v>
      </c>
      <c r="D130" s="112">
        <f>C130/C$135</f>
        <v>0.86719822578941808</v>
      </c>
    </row>
    <row r="131" spans="1:4" x14ac:dyDescent="0.55000000000000004">
      <c r="A131" t="s">
        <v>273</v>
      </c>
      <c r="C131">
        <v>8483</v>
      </c>
      <c r="D131" s="112">
        <f>C131/C$135</f>
        <v>8.958707360861759E-2</v>
      </c>
    </row>
    <row r="132" spans="1:4" x14ac:dyDescent="0.55000000000000004">
      <c r="A132" t="s">
        <v>274</v>
      </c>
      <c r="C132">
        <v>1373</v>
      </c>
      <c r="D132" s="112">
        <f>C132/C$135</f>
        <v>1.4499947196113633E-2</v>
      </c>
    </row>
    <row r="133" spans="1:4" x14ac:dyDescent="0.55000000000000004">
      <c r="A133" t="s">
        <v>275</v>
      </c>
      <c r="C133">
        <v>982</v>
      </c>
      <c r="D133" s="112">
        <f>C133/C$135</f>
        <v>1.0370683282289576E-2</v>
      </c>
    </row>
    <row r="134" spans="1:4" x14ac:dyDescent="0.55000000000000004">
      <c r="A134" s="90" t="s">
        <v>276</v>
      </c>
      <c r="B134" s="90"/>
      <c r="C134" s="90">
        <v>1737</v>
      </c>
      <c r="D134" s="117">
        <f>C134/C$135</f>
        <v>1.8344070123561092E-2</v>
      </c>
    </row>
    <row r="135" spans="1:4" x14ac:dyDescent="0.55000000000000004">
      <c r="A135" t="s">
        <v>277</v>
      </c>
      <c r="C135">
        <f>SUM(C130:C134)</f>
        <v>94690</v>
      </c>
      <c r="D135" s="112">
        <f>SUM(D130:D134)</f>
        <v>1</v>
      </c>
    </row>
    <row r="138" spans="1:4" x14ac:dyDescent="0.55000000000000004">
      <c r="A138" s="108" t="s">
        <v>172</v>
      </c>
    </row>
    <row r="139" spans="1:4" x14ac:dyDescent="0.55000000000000004">
      <c r="A139" s="108"/>
    </row>
    <row r="140" spans="1:4" x14ac:dyDescent="0.55000000000000004">
      <c r="A140" t="s">
        <v>288</v>
      </c>
    </row>
    <row r="141" spans="1:4" x14ac:dyDescent="0.55000000000000004">
      <c r="B141" t="s">
        <v>289</v>
      </c>
    </row>
    <row r="142" spans="1:4" x14ac:dyDescent="0.55000000000000004">
      <c r="B142" t="s">
        <v>290</v>
      </c>
    </row>
    <row r="143" spans="1:4" x14ac:dyDescent="0.55000000000000004">
      <c r="A143" t="s">
        <v>291</v>
      </c>
    </row>
    <row r="145" spans="1:31" x14ac:dyDescent="0.55000000000000004">
      <c r="A145" t="s">
        <v>292</v>
      </c>
      <c r="B145" s="151">
        <v>550000</v>
      </c>
    </row>
    <row r="146" spans="1:31" x14ac:dyDescent="0.55000000000000004">
      <c r="A146" t="s">
        <v>293</v>
      </c>
      <c r="B146" s="151">
        <v>45</v>
      </c>
    </row>
    <row r="147" spans="1:31" x14ac:dyDescent="0.55000000000000004">
      <c r="A147" t="s">
        <v>294</v>
      </c>
      <c r="B147" t="s">
        <v>295</v>
      </c>
    </row>
    <row r="148" spans="1:31" x14ac:dyDescent="0.55000000000000004">
      <c r="A148" t="s">
        <v>296</v>
      </c>
      <c r="B148" t="s">
        <v>297</v>
      </c>
    </row>
    <row r="149" spans="1:31" x14ac:dyDescent="0.55000000000000004">
      <c r="A149" t="s">
        <v>298</v>
      </c>
      <c r="B149" t="s">
        <v>299</v>
      </c>
    </row>
    <row r="151" spans="1:31" x14ac:dyDescent="0.55000000000000004">
      <c r="A151" t="s">
        <v>300</v>
      </c>
      <c r="B151" t="s">
        <v>301</v>
      </c>
    </row>
    <row r="152" spans="1:31" x14ac:dyDescent="0.55000000000000004">
      <c r="A152" t="s">
        <v>302</v>
      </c>
    </row>
    <row r="153" spans="1:31" x14ac:dyDescent="0.55000000000000004">
      <c r="A153" t="s">
        <v>303</v>
      </c>
    </row>
    <row r="154" spans="1:31" x14ac:dyDescent="0.55000000000000004">
      <c r="A154" t="s">
        <v>304</v>
      </c>
    </row>
    <row r="156" spans="1:31" x14ac:dyDescent="0.55000000000000004">
      <c r="A156" s="152" t="s">
        <v>263</v>
      </c>
    </row>
    <row r="157" spans="1:31" x14ac:dyDescent="0.55000000000000004">
      <c r="P157" s="153" t="s">
        <v>305</v>
      </c>
      <c r="Q157" s="153" t="s">
        <v>305</v>
      </c>
      <c r="R157" s="153" t="s">
        <v>305</v>
      </c>
      <c r="AC157" s="153" t="s">
        <v>306</v>
      </c>
      <c r="AD157" s="153" t="s">
        <v>306</v>
      </c>
      <c r="AE157" s="153" t="s">
        <v>306</v>
      </c>
    </row>
    <row r="158" spans="1:31" x14ac:dyDescent="0.55000000000000004">
      <c r="A158" s="110" t="s">
        <v>307</v>
      </c>
      <c r="B158" s="110">
        <v>2022</v>
      </c>
      <c r="C158" s="110">
        <v>2023</v>
      </c>
      <c r="D158" s="111" t="s">
        <v>140</v>
      </c>
      <c r="E158" s="111" t="s">
        <v>141</v>
      </c>
      <c r="F158" s="111" t="s">
        <v>1096</v>
      </c>
      <c r="G158" s="111" t="s">
        <v>142</v>
      </c>
      <c r="H158" s="111" t="s">
        <v>143</v>
      </c>
      <c r="I158" s="111" t="s">
        <v>1097</v>
      </c>
      <c r="J158" s="111" t="s">
        <v>144</v>
      </c>
      <c r="K158" s="111" t="s">
        <v>338</v>
      </c>
      <c r="L158" s="111" t="s">
        <v>948</v>
      </c>
      <c r="M158" s="111" t="s">
        <v>1113</v>
      </c>
      <c r="N158" s="111" t="s">
        <v>1114</v>
      </c>
      <c r="P158" s="111">
        <f>C158</f>
        <v>2023</v>
      </c>
      <c r="Q158" s="111" t="str">
        <f>J158</f>
        <v>Q1 24</v>
      </c>
      <c r="R158" s="111" t="str">
        <f>K158</f>
        <v>Q2 24</v>
      </c>
      <c r="T158" s="110" t="s">
        <v>148</v>
      </c>
      <c r="U158" s="110">
        <f>B158</f>
        <v>2022</v>
      </c>
      <c r="V158" s="110">
        <f>C158</f>
        <v>2023</v>
      </c>
      <c r="W158" s="111" t="s">
        <v>140</v>
      </c>
      <c r="X158" s="111" t="s">
        <v>141</v>
      </c>
      <c r="Y158" s="111" t="s">
        <v>144</v>
      </c>
      <c r="Z158" s="111" t="s">
        <v>338</v>
      </c>
      <c r="AA158" s="111" t="s">
        <v>1114</v>
      </c>
      <c r="AC158" s="111">
        <f>V158</f>
        <v>2023</v>
      </c>
      <c r="AD158" s="111" t="str">
        <f>Y158</f>
        <v>Q1 24</v>
      </c>
      <c r="AE158" s="111" t="str">
        <f>Z158</f>
        <v>Q2 24</v>
      </c>
    </row>
    <row r="159" spans="1:31" x14ac:dyDescent="0.55000000000000004">
      <c r="A159" t="s">
        <v>173</v>
      </c>
      <c r="B159" s="114">
        <v>837285</v>
      </c>
      <c r="C159" s="114">
        <v>980892</v>
      </c>
      <c r="D159">
        <v>210696</v>
      </c>
      <c r="E159">
        <f>449288-D159</f>
        <v>238592</v>
      </c>
      <c r="F159">
        <f>D159+E159</f>
        <v>449288</v>
      </c>
      <c r="I159" s="114">
        <f>C159-F159</f>
        <v>531604</v>
      </c>
      <c r="J159">
        <v>247176</v>
      </c>
      <c r="K159">
        <f>523086-J159</f>
        <v>275910</v>
      </c>
      <c r="L159">
        <f>J159+K159</f>
        <v>523086</v>
      </c>
      <c r="P159" s="112">
        <f>C159/B159-1</f>
        <v>0.17151507551192235</v>
      </c>
      <c r="Q159" s="112">
        <f>J159/D159-1</f>
        <v>0.17314044879826862</v>
      </c>
      <c r="R159" s="112">
        <f>K159/E159-1</f>
        <v>0.15640926770386265</v>
      </c>
      <c r="T159" t="str">
        <f>A159</f>
        <v>GMV</v>
      </c>
      <c r="U159" s="114">
        <f>B159/B160</f>
        <v>82735.671936758896</v>
      </c>
      <c r="V159" s="114">
        <f>C159/C160</f>
        <v>92449.7643732328</v>
      </c>
      <c r="W159" s="114">
        <f>D159/D160</f>
        <v>20178.680223987529</v>
      </c>
      <c r="X159" s="114">
        <f>E159/E160</f>
        <v>22636.812144212527</v>
      </c>
      <c r="Y159" s="114">
        <f>J159/J160</f>
        <v>23784.092658605619</v>
      </c>
      <c r="Z159" s="114">
        <f>K159/K160</f>
        <v>25810.102899906455</v>
      </c>
      <c r="AA159" s="114"/>
      <c r="AC159" s="112">
        <f>V159/U159-1</f>
        <v>0.11741117475783747</v>
      </c>
      <c r="AD159" s="112">
        <f>Y159/W159-1</f>
        <v>0.17867434314817743</v>
      </c>
      <c r="AE159" s="112">
        <f>Z159/X159-1</f>
        <v>0.14018275786704493</v>
      </c>
    </row>
    <row r="160" spans="1:31" x14ac:dyDescent="0.55000000000000004">
      <c r="A160" t="s">
        <v>308</v>
      </c>
      <c r="B160">
        <v>10.119999999999999</v>
      </c>
      <c r="C160">
        <v>10.61</v>
      </c>
      <c r="D160" s="106">
        <v>10.441515384615384</v>
      </c>
      <c r="E160">
        <v>10.54</v>
      </c>
      <c r="F160" s="106">
        <f>AVERAGE(D160,E160)</f>
        <v>10.490757692307692</v>
      </c>
      <c r="G160" s="106"/>
      <c r="H160" s="106"/>
      <c r="J160" s="106">
        <v>10.392492307692308</v>
      </c>
      <c r="K160" s="106">
        <v>10.69</v>
      </c>
      <c r="L160" s="106">
        <f>AVERAGE(J160,K160)</f>
        <v>10.541246153846153</v>
      </c>
      <c r="M160" s="106">
        <f>(10.42+10.25)/2</f>
        <v>10.335000000000001</v>
      </c>
      <c r="N160" s="106">
        <f>AVERAGE(L160,M160)</f>
        <v>10.438123076923077</v>
      </c>
    </row>
    <row r="161" spans="1:31" x14ac:dyDescent="0.55000000000000004">
      <c r="D161" s="106"/>
      <c r="F161" s="106"/>
      <c r="J161" s="106"/>
      <c r="K161" s="106"/>
      <c r="L161" s="106"/>
    </row>
    <row r="162" spans="1:31" x14ac:dyDescent="0.55000000000000004">
      <c r="A162" t="s">
        <v>1111</v>
      </c>
      <c r="D162" s="106"/>
      <c r="F162" s="107">
        <f>F170/F175*F159</f>
        <v>125566.45237842991</v>
      </c>
      <c r="J162" s="106"/>
      <c r="K162" s="106"/>
      <c r="L162" s="107">
        <f>L170/L175*L159</f>
        <v>162451.94301893469</v>
      </c>
    </row>
    <row r="163" spans="1:31" x14ac:dyDescent="0.55000000000000004">
      <c r="A163" t="s">
        <v>1110</v>
      </c>
      <c r="D163" s="106"/>
      <c r="F163" s="106"/>
      <c r="J163" s="106"/>
      <c r="K163" s="106"/>
      <c r="L163" s="106"/>
    </row>
    <row r="165" spans="1:31" x14ac:dyDescent="0.55000000000000004">
      <c r="A165" t="s">
        <v>309</v>
      </c>
      <c r="B165" s="114">
        <v>15403</v>
      </c>
      <c r="C165" s="114">
        <v>19798</v>
      </c>
      <c r="P165" s="112">
        <f>C165/B165-1</f>
        <v>0.28533402583912215</v>
      </c>
      <c r="AC165" s="112"/>
      <c r="AD165" s="112"/>
      <c r="AE165" s="112"/>
    </row>
    <row r="166" spans="1:31" x14ac:dyDescent="0.55000000000000004">
      <c r="A166" s="90" t="s">
        <v>310</v>
      </c>
      <c r="B166" s="116">
        <v>3934</v>
      </c>
      <c r="C166" s="116">
        <v>3707</v>
      </c>
      <c r="D166" s="90"/>
      <c r="E166" s="90"/>
      <c r="F166" s="90"/>
      <c r="I166" s="90"/>
      <c r="J166" s="90"/>
      <c r="K166" s="90"/>
      <c r="L166" s="90"/>
      <c r="M166" s="90"/>
      <c r="P166" s="117">
        <f>C166/B166-1</f>
        <v>-5.7702084392475816E-2</v>
      </c>
      <c r="Q166" s="90"/>
      <c r="R166" s="90"/>
      <c r="AC166" s="112"/>
      <c r="AD166" s="112"/>
      <c r="AE166" s="112"/>
    </row>
    <row r="167" spans="1:31" x14ac:dyDescent="0.55000000000000004">
      <c r="A167" t="s">
        <v>90</v>
      </c>
      <c r="B167" s="114">
        <v>19336</v>
      </c>
      <c r="C167" s="114">
        <v>23504</v>
      </c>
      <c r="D167" s="114">
        <v>4949</v>
      </c>
      <c r="E167" s="114">
        <f>10484-D167</f>
        <v>5535</v>
      </c>
      <c r="F167">
        <f>D167+E167</f>
        <v>10484</v>
      </c>
      <c r="I167" s="114">
        <f>C167-F167</f>
        <v>13020</v>
      </c>
      <c r="J167" s="114">
        <v>6364</v>
      </c>
      <c r="K167" s="114">
        <f>13270-J167</f>
        <v>6906</v>
      </c>
      <c r="L167">
        <f>J167+K167</f>
        <v>13270</v>
      </c>
      <c r="M167">
        <f>(1+R167)*I167</f>
        <v>16245.0081300813</v>
      </c>
      <c r="P167" s="112">
        <f>C167/B167-1</f>
        <v>0.21555647496896979</v>
      </c>
      <c r="Q167" s="112">
        <f>J167/D167-1</f>
        <v>0.28591634673671451</v>
      </c>
      <c r="R167" s="112">
        <f>K167/E167-1</f>
        <v>0.2476964769647696</v>
      </c>
      <c r="T167" t="str">
        <f>A167</f>
        <v>Revenue</v>
      </c>
      <c r="U167" s="114">
        <f>B167/B$160</f>
        <v>1910.6719367588935</v>
      </c>
      <c r="V167" s="114">
        <f>C167/C$160</f>
        <v>2215.268614514609</v>
      </c>
      <c r="W167" s="114">
        <f>D167/D$160</f>
        <v>473.97334751734388</v>
      </c>
      <c r="X167" s="114">
        <f>E167/E$160</f>
        <v>525.14231499051243</v>
      </c>
      <c r="Y167" s="114">
        <f>J167/J$160</f>
        <v>612.36513933135166</v>
      </c>
      <c r="Z167" s="114">
        <f>K167/K$160</f>
        <v>646.02432179607115</v>
      </c>
      <c r="AA167" s="114"/>
      <c r="AC167" s="112">
        <f>V167/U167-1</f>
        <v>0.15941861702978066</v>
      </c>
      <c r="AD167" s="112">
        <f>Y167/W167-1</f>
        <v>0.2919822233442011</v>
      </c>
      <c r="AE167" s="112">
        <f>Z167/X167-1</f>
        <v>0.23018904276975394</v>
      </c>
    </row>
    <row r="168" spans="1:31" x14ac:dyDescent="0.55000000000000004">
      <c r="A168" t="s">
        <v>311</v>
      </c>
      <c r="B168" s="141">
        <f>B167/B159</f>
        <v>2.3093689723331961E-2</v>
      </c>
      <c r="C168" s="141">
        <f>C167/C159</f>
        <v>2.3961863283623479E-2</v>
      </c>
      <c r="D168" s="141">
        <f>D167/D159</f>
        <v>2.3488818012681777E-2</v>
      </c>
      <c r="E168" s="141">
        <f>E167/E159</f>
        <v>2.319859844420601E-2</v>
      </c>
      <c r="F168" s="141">
        <f>F167/F159</f>
        <v>2.333469845622407E-2</v>
      </c>
      <c r="I168" s="141">
        <f>I167/I159</f>
        <v>2.4491915034499365E-2</v>
      </c>
      <c r="J168" s="141">
        <f>J167/J159</f>
        <v>2.5746836262420299E-2</v>
      </c>
      <c r="K168" s="141">
        <f>K167/K159</f>
        <v>2.5029901054691748E-2</v>
      </c>
      <c r="L168" s="141">
        <f>L167/L159</f>
        <v>2.5368677425891727E-2</v>
      </c>
      <c r="T168" t="s">
        <v>253</v>
      </c>
      <c r="U168" s="112">
        <f t="shared" ref="U168:Z168" si="26">U167/U159</f>
        <v>2.3093689723331961E-2</v>
      </c>
      <c r="V168" s="112">
        <f t="shared" si="26"/>
        <v>2.3961863283623479E-2</v>
      </c>
      <c r="W168" s="112">
        <f t="shared" si="26"/>
        <v>2.3488818012681781E-2</v>
      </c>
      <c r="X168" s="112">
        <f t="shared" si="26"/>
        <v>2.319859844420601E-2</v>
      </c>
      <c r="Y168" s="112">
        <f t="shared" si="26"/>
        <v>2.5746836262420303E-2</v>
      </c>
      <c r="Z168" s="112">
        <f t="shared" si="26"/>
        <v>2.5029901054691748E-2</v>
      </c>
      <c r="AA168" s="112"/>
    </row>
    <row r="170" spans="1:31" x14ac:dyDescent="0.55000000000000004">
      <c r="A170" t="s">
        <v>753</v>
      </c>
      <c r="F170">
        <v>2638</v>
      </c>
      <c r="L170">
        <v>3510</v>
      </c>
    </row>
    <row r="171" spans="1:31" x14ac:dyDescent="0.55000000000000004">
      <c r="A171" t="s">
        <v>1107</v>
      </c>
      <c r="F171">
        <v>2666</v>
      </c>
      <c r="L171">
        <v>3152</v>
      </c>
    </row>
    <row r="172" spans="1:31" x14ac:dyDescent="0.55000000000000004">
      <c r="A172" t="s">
        <v>1108</v>
      </c>
      <c r="F172">
        <v>1188</v>
      </c>
      <c r="L172">
        <v>1327</v>
      </c>
    </row>
    <row r="173" spans="1:31" x14ac:dyDescent="0.55000000000000004">
      <c r="A173" t="s">
        <v>1109</v>
      </c>
      <c r="F173">
        <v>1047</v>
      </c>
      <c r="L173">
        <v>1025</v>
      </c>
    </row>
    <row r="174" spans="1:31" x14ac:dyDescent="0.55000000000000004">
      <c r="A174" s="90" t="s">
        <v>321</v>
      </c>
      <c r="B174" s="90"/>
      <c r="C174" s="90"/>
      <c r="D174" s="90"/>
      <c r="E174" s="90"/>
      <c r="F174" s="90">
        <v>1900</v>
      </c>
      <c r="I174" s="90"/>
      <c r="J174" s="90"/>
      <c r="K174" s="90"/>
      <c r="L174" s="90">
        <f>2288</f>
        <v>2288</v>
      </c>
    </row>
    <row r="175" spans="1:31" x14ac:dyDescent="0.55000000000000004">
      <c r="A175" t="s">
        <v>184</v>
      </c>
      <c r="F175">
        <f>SUM(F170:F174)</f>
        <v>9439</v>
      </c>
      <c r="L175">
        <f>SUM(L170:L174)</f>
        <v>11302</v>
      </c>
    </row>
    <row r="177" spans="1:31" x14ac:dyDescent="0.55000000000000004">
      <c r="A177" t="s">
        <v>322</v>
      </c>
    </row>
    <row r="179" spans="1:31" x14ac:dyDescent="0.55000000000000004">
      <c r="A179" t="s">
        <v>312</v>
      </c>
      <c r="B179" s="114">
        <v>5165</v>
      </c>
      <c r="C179" s="114">
        <v>5700</v>
      </c>
      <c r="D179" s="114">
        <v>1339</v>
      </c>
      <c r="E179" s="114">
        <f>2713-D179</f>
        <v>1374</v>
      </c>
      <c r="F179" s="114">
        <f>D179+E179</f>
        <v>2713</v>
      </c>
      <c r="I179" s="114">
        <f>C179-F179</f>
        <v>2987</v>
      </c>
      <c r="J179" s="114">
        <v>1394</v>
      </c>
      <c r="K179" s="114">
        <f>2956-J179</f>
        <v>1562</v>
      </c>
      <c r="L179" s="114">
        <f>J179+K179</f>
        <v>2956</v>
      </c>
      <c r="T179" t="str">
        <f>A179</f>
        <v>Processing / servicing</v>
      </c>
      <c r="U179" s="114">
        <f t="shared" ref="U179:X180" si="27">B179/B$160</f>
        <v>510.37549407114631</v>
      </c>
      <c r="V179" s="114">
        <f t="shared" si="27"/>
        <v>537.22902921771913</v>
      </c>
      <c r="W179" s="114">
        <f t="shared" si="27"/>
        <v>128.2380909932761</v>
      </c>
      <c r="X179" s="114">
        <f t="shared" si="27"/>
        <v>130.36053130929793</v>
      </c>
      <c r="Y179" s="114">
        <f>J179/J$160</f>
        <v>134.13529293336018</v>
      </c>
      <c r="Z179" s="114">
        <f>K179/K$160</f>
        <v>146.11786716557532</v>
      </c>
      <c r="AA179" s="114"/>
    </row>
    <row r="180" spans="1:31" x14ac:dyDescent="0.55000000000000004">
      <c r="A180" t="s">
        <v>313</v>
      </c>
      <c r="B180" s="114">
        <v>5563</v>
      </c>
      <c r="C180" s="114">
        <v>3766</v>
      </c>
      <c r="D180" s="114">
        <v>748</v>
      </c>
      <c r="E180" s="114">
        <f>2329-D180</f>
        <v>1581</v>
      </c>
      <c r="F180" s="114">
        <f>D180+E180</f>
        <v>2329</v>
      </c>
      <c r="I180" s="114">
        <f>C180-F180</f>
        <v>1437</v>
      </c>
      <c r="J180" s="114">
        <v>1191</v>
      </c>
      <c r="K180" s="114">
        <f>1672-J180</f>
        <v>481</v>
      </c>
      <c r="L180" s="114">
        <f>J180+K180</f>
        <v>1672</v>
      </c>
      <c r="T180" t="str">
        <f>A180</f>
        <v>ECL</v>
      </c>
      <c r="U180" s="114">
        <f t="shared" si="27"/>
        <v>549.703557312253</v>
      </c>
      <c r="V180" s="114">
        <f t="shared" si="27"/>
        <v>354.94816211121588</v>
      </c>
      <c r="W180" s="114">
        <f t="shared" si="27"/>
        <v>71.637111324100474</v>
      </c>
      <c r="X180" s="114">
        <f t="shared" si="27"/>
        <v>150</v>
      </c>
      <c r="Y180" s="114">
        <f>J180/J$160</f>
        <v>114.60196117907601</v>
      </c>
      <c r="Z180" s="114">
        <f>K180/K$160</f>
        <v>44.995322731524794</v>
      </c>
      <c r="AA180" s="114"/>
    </row>
    <row r="181" spans="1:31" x14ac:dyDescent="0.55000000000000004">
      <c r="A181" t="s">
        <v>245</v>
      </c>
      <c r="B181" s="113">
        <f>B180/B167</f>
        <v>0.28770169631774928</v>
      </c>
      <c r="C181" s="113">
        <f>C180/C167</f>
        <v>0.16022804628999318</v>
      </c>
      <c r="D181" s="113">
        <f>D180/D167</f>
        <v>0.15114164477672257</v>
      </c>
      <c r="E181" s="113">
        <f>E180/E167</f>
        <v>0.28563685636856367</v>
      </c>
      <c r="F181" s="113">
        <f>F180/F167</f>
        <v>0.22214803510110645</v>
      </c>
      <c r="I181" s="113">
        <f>I180/I167</f>
        <v>0.11036866359447005</v>
      </c>
      <c r="J181" s="113">
        <f>J180/J167</f>
        <v>0.18714644877435574</v>
      </c>
      <c r="K181" s="113">
        <f>K180/K167</f>
        <v>6.9649580075296841E-2</v>
      </c>
      <c r="L181" s="113">
        <f>L180/L167</f>
        <v>0.12599849284099474</v>
      </c>
    </row>
    <row r="182" spans="1:31" x14ac:dyDescent="0.55000000000000004">
      <c r="B182" s="114"/>
      <c r="C182" s="114"/>
      <c r="D182" s="114"/>
      <c r="J182" s="114"/>
    </row>
    <row r="183" spans="1:31" x14ac:dyDescent="0.55000000000000004">
      <c r="A183" t="s">
        <v>314</v>
      </c>
      <c r="B183" s="114">
        <v>1327</v>
      </c>
      <c r="C183" s="114">
        <v>2356</v>
      </c>
      <c r="D183" s="114">
        <v>429</v>
      </c>
      <c r="E183" s="114">
        <f>E167-E185-E180-E179</f>
        <v>-155</v>
      </c>
      <c r="F183" s="114">
        <f>D183+E183</f>
        <v>274</v>
      </c>
      <c r="I183" s="114">
        <f>C183-F183</f>
        <v>2082</v>
      </c>
      <c r="J183" s="114">
        <v>817</v>
      </c>
      <c r="K183" s="114">
        <f>K167-K185-K180-K179</f>
        <v>1513</v>
      </c>
      <c r="L183" s="114">
        <f>J183+K183</f>
        <v>2330</v>
      </c>
      <c r="T183" t="str">
        <f>A183</f>
        <v>Funding</v>
      </c>
      <c r="U183" s="114">
        <f>B183/B$160</f>
        <v>131.12648221343875</v>
      </c>
      <c r="V183" s="114">
        <f>C183/C$160</f>
        <v>222.05466540999058</v>
      </c>
      <c r="W183" s="114">
        <f>D183/D$160</f>
        <v>41.085990318234096</v>
      </c>
      <c r="X183" s="114">
        <f>E183/E$160</f>
        <v>-14.705882352941178</v>
      </c>
      <c r="Y183" s="114">
        <f>J183/J$160</f>
        <v>78.61444356280866</v>
      </c>
      <c r="Z183" s="114">
        <f>K183/K$160</f>
        <v>141.53414405986905</v>
      </c>
      <c r="AA183" s="114"/>
    </row>
    <row r="184" spans="1:31" x14ac:dyDescent="0.55000000000000004">
      <c r="C184" s="114"/>
      <c r="D184" s="114"/>
      <c r="E184" s="114"/>
      <c r="J184" s="114"/>
      <c r="K184" s="114"/>
    </row>
    <row r="185" spans="1:31" x14ac:dyDescent="0.55000000000000004">
      <c r="A185" t="s">
        <v>179</v>
      </c>
      <c r="B185" s="114">
        <v>7281</v>
      </c>
      <c r="C185" s="114">
        <v>11682</v>
      </c>
      <c r="D185" s="114">
        <v>2433</v>
      </c>
      <c r="E185" s="114">
        <f>5168-D185</f>
        <v>2735</v>
      </c>
      <c r="F185" s="114">
        <f>D185+E185</f>
        <v>5168</v>
      </c>
      <c r="I185" s="114">
        <f>C185-F185</f>
        <v>6514</v>
      </c>
      <c r="J185" s="114">
        <v>2963</v>
      </c>
      <c r="K185" s="114">
        <f>6313-J185</f>
        <v>3350</v>
      </c>
      <c r="L185" s="114">
        <f>J185+K185</f>
        <v>6313</v>
      </c>
      <c r="M185" s="114">
        <f>M186*M167</f>
        <v>7728.3147193069517</v>
      </c>
      <c r="N185" s="114">
        <f>L185+M185</f>
        <v>14041.314719306953</v>
      </c>
      <c r="P185" s="112">
        <f>C185/B185-1</f>
        <v>0.60444993819530279</v>
      </c>
      <c r="Q185" s="112">
        <f>J185/D185-1</f>
        <v>0.21783806000822037</v>
      </c>
      <c r="R185" s="112">
        <f>K185/E185-1</f>
        <v>0.22486288848263247</v>
      </c>
      <c r="T185" t="s">
        <v>179</v>
      </c>
      <c r="U185" s="107">
        <f>B185/B160</f>
        <v>719.46640316205537</v>
      </c>
      <c r="V185" s="107">
        <f>C185/C160</f>
        <v>1101.0367577756833</v>
      </c>
      <c r="W185" s="107">
        <f>D185/D160</f>
        <v>233.01215488173321</v>
      </c>
      <c r="X185" s="107">
        <f>E185/E160</f>
        <v>259.48766603415561</v>
      </c>
      <c r="Y185" s="107">
        <f>J185/J160</f>
        <v>285.10966496524117</v>
      </c>
      <c r="Z185" s="107">
        <f>K185/K160</f>
        <v>313.37698783910196</v>
      </c>
      <c r="AA185" s="107">
        <f>N185/N160</f>
        <v>1345.1953589577731</v>
      </c>
      <c r="AC185" s="112">
        <f>V185/U185-1</f>
        <v>0.53035187318911059</v>
      </c>
      <c r="AD185" s="112">
        <f>Y185/W185-1</f>
        <v>0.22358280026185917</v>
      </c>
      <c r="AE185" s="112">
        <f>Z185/Y185-1</f>
        <v>9.9145438921921292E-2</v>
      </c>
    </row>
    <row r="186" spans="1:31" x14ac:dyDescent="0.55000000000000004">
      <c r="A186" t="s">
        <v>171</v>
      </c>
      <c r="B186" s="112">
        <f>B185/B167</f>
        <v>0.37655151013653287</v>
      </c>
      <c r="C186" s="112">
        <f>C185/C167</f>
        <v>0.49702178352620829</v>
      </c>
      <c r="D186" s="112">
        <f>D185/D167</f>
        <v>0.4916144675692059</v>
      </c>
      <c r="E186" s="112">
        <f>E185/E167</f>
        <v>0.4941282746160795</v>
      </c>
      <c r="F186" s="112">
        <f>F185/F167</f>
        <v>0.49294162533384206</v>
      </c>
      <c r="I186" s="112">
        <f>I185/I167</f>
        <v>0.50030721966205838</v>
      </c>
      <c r="J186" s="112">
        <f>J185/J167</f>
        <v>0.46558768070395978</v>
      </c>
      <c r="K186" s="112">
        <f>K185/K167</f>
        <v>0.48508543295684914</v>
      </c>
      <c r="L186" s="112">
        <f>L185/L167</f>
        <v>0.4757347400150716</v>
      </c>
      <c r="M186" s="112">
        <f>L186</f>
        <v>0.4757347400150716</v>
      </c>
    </row>
    <row r="188" spans="1:31" x14ac:dyDescent="0.55000000000000004">
      <c r="A188" t="s">
        <v>315</v>
      </c>
    </row>
    <row r="189" spans="1:31" x14ac:dyDescent="0.55000000000000004">
      <c r="A189" t="s">
        <v>316</v>
      </c>
      <c r="B189" s="114">
        <v>3415</v>
      </c>
      <c r="C189" s="114">
        <v>3045</v>
      </c>
      <c r="D189">
        <v>734</v>
      </c>
      <c r="E189" s="114">
        <f>F189-D189</f>
        <v>703</v>
      </c>
      <c r="F189" s="114">
        <v>1437</v>
      </c>
      <c r="I189" s="114">
        <f>C189-F189</f>
        <v>1608</v>
      </c>
      <c r="J189">
        <v>835</v>
      </c>
      <c r="K189" s="114">
        <f>L189-J189</f>
        <v>845</v>
      </c>
      <c r="L189" s="114">
        <v>1680</v>
      </c>
    </row>
    <row r="190" spans="1:31" x14ac:dyDescent="0.55000000000000004">
      <c r="A190" t="s">
        <v>317</v>
      </c>
      <c r="B190" s="114">
        <v>4893</v>
      </c>
      <c r="C190" s="114">
        <v>3400</v>
      </c>
      <c r="D190">
        <v>694</v>
      </c>
      <c r="E190" s="114">
        <f>F190-D190</f>
        <v>725</v>
      </c>
      <c r="F190" s="114">
        <v>1419</v>
      </c>
      <c r="I190" s="114">
        <f>C190-F190</f>
        <v>1981</v>
      </c>
      <c r="J190">
        <v>615</v>
      </c>
      <c r="K190" s="114">
        <f>L190-J190</f>
        <v>643</v>
      </c>
      <c r="L190" s="114">
        <v>1258</v>
      </c>
    </row>
    <row r="191" spans="1:31" x14ac:dyDescent="0.55000000000000004">
      <c r="A191" t="s">
        <v>318</v>
      </c>
      <c r="B191" s="114">
        <v>2817</v>
      </c>
      <c r="C191" s="114">
        <v>2420</v>
      </c>
      <c r="D191">
        <v>658</v>
      </c>
      <c r="E191" s="114">
        <f>F191-D191</f>
        <v>566</v>
      </c>
      <c r="F191" s="114">
        <v>1224</v>
      </c>
      <c r="I191" s="114">
        <f>C191-F191</f>
        <v>1196</v>
      </c>
      <c r="J191">
        <v>594</v>
      </c>
      <c r="K191" s="114">
        <f>L191-J191</f>
        <v>507</v>
      </c>
      <c r="L191" s="114">
        <v>1101</v>
      </c>
    </row>
    <row r="192" spans="1:31" x14ac:dyDescent="0.55000000000000004">
      <c r="A192" t="s">
        <v>319</v>
      </c>
      <c r="B192" s="114">
        <v>4359</v>
      </c>
      <c r="C192" s="114">
        <v>3920</v>
      </c>
      <c r="D192">
        <v>948</v>
      </c>
      <c r="E192" s="114">
        <f>F192-D192</f>
        <v>596</v>
      </c>
      <c r="F192" s="114">
        <v>1544</v>
      </c>
      <c r="I192" s="114">
        <f>C192-F192</f>
        <v>2376</v>
      </c>
      <c r="J192">
        <v>805</v>
      </c>
      <c r="K192" s="114">
        <f>L192-J192</f>
        <v>795</v>
      </c>
      <c r="L192" s="114">
        <v>1600</v>
      </c>
    </row>
    <row r="193" spans="1:19" x14ac:dyDescent="0.55000000000000004">
      <c r="A193" t="s">
        <v>320</v>
      </c>
      <c r="B193" s="114">
        <v>1639</v>
      </c>
      <c r="C193" s="114">
        <v>2392</v>
      </c>
      <c r="D193">
        <v>581</v>
      </c>
      <c r="E193" s="114">
        <f>F193-D193</f>
        <v>269</v>
      </c>
      <c r="F193" s="114">
        <v>850</v>
      </c>
      <c r="I193" s="114">
        <f>C193-F193</f>
        <v>1542</v>
      </c>
      <c r="J193">
        <v>376</v>
      </c>
      <c r="K193" s="114">
        <f>L193-J193</f>
        <v>402</v>
      </c>
      <c r="L193" s="114">
        <v>778</v>
      </c>
    </row>
    <row r="194" spans="1:19" x14ac:dyDescent="0.55000000000000004">
      <c r="A194" s="90" t="s">
        <v>321</v>
      </c>
      <c r="B194" s="116">
        <v>633</v>
      </c>
      <c r="C194" s="116">
        <v>-290</v>
      </c>
      <c r="D194" s="90"/>
      <c r="E194" s="90"/>
      <c r="F194" s="90"/>
      <c r="I194" s="90"/>
      <c r="J194" s="90"/>
      <c r="K194" s="90"/>
      <c r="L194" s="90"/>
    </row>
    <row r="195" spans="1:19" x14ac:dyDescent="0.55000000000000004">
      <c r="A195" t="s">
        <v>277</v>
      </c>
      <c r="B195" s="114">
        <f>SUM(B189:B194)</f>
        <v>17756</v>
      </c>
      <c r="C195" s="114">
        <f>SUM(C189:C194)</f>
        <v>14887</v>
      </c>
      <c r="D195" s="114">
        <f>SUM(D189:D194)</f>
        <v>3615</v>
      </c>
      <c r="E195" s="114">
        <f>SUM(E189:E194)</f>
        <v>2859</v>
      </c>
      <c r="F195" s="114">
        <f>SUM(F189:F194)</f>
        <v>6474</v>
      </c>
      <c r="I195" s="114">
        <f>SUM(I189:I194)</f>
        <v>8703</v>
      </c>
      <c r="J195" s="114">
        <f>SUM(J189:J194)</f>
        <v>3225</v>
      </c>
      <c r="K195" s="114">
        <f>SUM(K189:K194)</f>
        <v>3192</v>
      </c>
      <c r="L195" s="114">
        <f>SUM(L189:L194)</f>
        <v>6417</v>
      </c>
    </row>
    <row r="196" spans="1:19" x14ac:dyDescent="0.55000000000000004">
      <c r="A196" t="s">
        <v>245</v>
      </c>
      <c r="B196" s="113">
        <f>B195/B167</f>
        <v>0.91828713280926766</v>
      </c>
      <c r="C196" s="113">
        <f>C195/C167</f>
        <v>0.63338155207624236</v>
      </c>
    </row>
    <row r="198" spans="1:19" x14ac:dyDescent="0.55000000000000004">
      <c r="A198" t="s">
        <v>840</v>
      </c>
      <c r="B198" s="115">
        <f>C198/1.16</f>
        <v>74.224137931034477</v>
      </c>
      <c r="C198">
        <v>86.1</v>
      </c>
      <c r="R198" s="154">
        <f>B198/B$160</f>
        <v>7.3344009813275184</v>
      </c>
      <c r="S198" s="154">
        <f>C198/C$160</f>
        <v>8.1149858623939686</v>
      </c>
    </row>
    <row r="200" spans="1:19" x14ac:dyDescent="0.55000000000000004">
      <c r="A200" t="s">
        <v>1100</v>
      </c>
      <c r="B200" s="114">
        <f>B185-B195</f>
        <v>-10475</v>
      </c>
      <c r="C200" s="114">
        <f>C185-C195</f>
        <v>-3205</v>
      </c>
      <c r="D200" s="114">
        <f>D185-D195</f>
        <v>-1182</v>
      </c>
      <c r="E200" s="114">
        <f>E185-E195</f>
        <v>-124</v>
      </c>
      <c r="F200" s="114">
        <f>F185-F195</f>
        <v>-1306</v>
      </c>
      <c r="I200" s="114">
        <f>I185-I195</f>
        <v>-2189</v>
      </c>
      <c r="J200" s="114">
        <f>J185-J195</f>
        <v>-262</v>
      </c>
      <c r="K200" s="114">
        <f>K185-K195</f>
        <v>158</v>
      </c>
      <c r="L200" s="114">
        <f>L185-L195</f>
        <v>-104</v>
      </c>
    </row>
    <row r="201" spans="1:19" x14ac:dyDescent="0.55000000000000004">
      <c r="A201" t="s">
        <v>171</v>
      </c>
      <c r="B201" s="113">
        <f>B200/B167</f>
        <v>-0.54173562267273478</v>
      </c>
      <c r="C201" s="113">
        <f>C200/C167</f>
        <v>-0.13635976855003404</v>
      </c>
      <c r="D201" s="113">
        <f>D200/D167</f>
        <v>-0.23883612851081026</v>
      </c>
      <c r="E201" s="113">
        <f>E200/E167</f>
        <v>-2.2402890695573621E-2</v>
      </c>
      <c r="F201" s="113">
        <f>F200/F167</f>
        <v>-0.12457077451354445</v>
      </c>
      <c r="I201" s="113">
        <f>I200/I167</f>
        <v>-0.16812596006144392</v>
      </c>
      <c r="J201" s="113">
        <f>J200/J167</f>
        <v>-4.1169076052796981E-2</v>
      </c>
      <c r="K201" s="113">
        <f>K200/K167</f>
        <v>2.28786562409499E-2</v>
      </c>
      <c r="L201" s="113">
        <f>L200/L167</f>
        <v>-7.8372268274302936E-3</v>
      </c>
    </row>
    <row r="202" spans="1:19" x14ac:dyDescent="0.55000000000000004">
      <c r="B202" s="113"/>
      <c r="C202" s="113"/>
      <c r="D202" s="113"/>
      <c r="E202" s="113"/>
      <c r="F202" s="113"/>
      <c r="I202" s="113"/>
      <c r="J202" s="113"/>
      <c r="K202" s="113"/>
    </row>
    <row r="203" spans="1:19" x14ac:dyDescent="0.55000000000000004">
      <c r="A203" t="s">
        <v>320</v>
      </c>
      <c r="B203" s="114">
        <f>B193</f>
        <v>1639</v>
      </c>
      <c r="C203" s="114">
        <f>C193</f>
        <v>2392</v>
      </c>
      <c r="D203" s="114">
        <f>D193</f>
        <v>581</v>
      </c>
      <c r="E203" s="114">
        <f>E193</f>
        <v>269</v>
      </c>
      <c r="F203" s="114">
        <f>D203+E203</f>
        <v>850</v>
      </c>
      <c r="I203" s="114">
        <f>C203-F203</f>
        <v>1542</v>
      </c>
      <c r="J203" s="114">
        <f>J193</f>
        <v>376</v>
      </c>
      <c r="K203" s="114">
        <f>K193</f>
        <v>402</v>
      </c>
      <c r="L203" s="114">
        <f>J203+K203</f>
        <v>778</v>
      </c>
    </row>
    <row r="204" spans="1:19" x14ac:dyDescent="0.55000000000000004">
      <c r="A204" t="s">
        <v>1098</v>
      </c>
      <c r="B204" s="114"/>
      <c r="C204" s="114"/>
      <c r="D204" s="114">
        <v>104</v>
      </c>
      <c r="E204" s="114">
        <f>F204-D204</f>
        <v>134</v>
      </c>
      <c r="F204" s="114">
        <v>238</v>
      </c>
      <c r="I204" s="114">
        <f>C204-F204</f>
        <v>-238</v>
      </c>
      <c r="J204" s="114">
        <v>63</v>
      </c>
      <c r="K204" s="114">
        <f>L204-J204</f>
        <v>85</v>
      </c>
      <c r="L204">
        <v>148</v>
      </c>
    </row>
    <row r="205" spans="1:19" x14ac:dyDescent="0.55000000000000004">
      <c r="A205" t="s">
        <v>1099</v>
      </c>
      <c r="B205" s="114"/>
      <c r="C205" s="114"/>
      <c r="D205" s="114">
        <v>166</v>
      </c>
      <c r="E205" s="114">
        <f>F205-D205</f>
        <v>175</v>
      </c>
      <c r="F205" s="114">
        <v>341</v>
      </c>
      <c r="I205" s="114">
        <f>C205-F205</f>
        <v>-341</v>
      </c>
      <c r="J205" s="114">
        <v>52</v>
      </c>
      <c r="K205" s="114">
        <f>L205-J205</f>
        <v>-19</v>
      </c>
      <c r="L205">
        <v>33</v>
      </c>
    </row>
    <row r="206" spans="1:19" x14ac:dyDescent="0.55000000000000004">
      <c r="B206" s="113"/>
      <c r="C206" s="113"/>
      <c r="D206" s="113"/>
      <c r="E206" s="113"/>
      <c r="F206" s="113"/>
      <c r="I206" s="113"/>
      <c r="J206" s="113"/>
      <c r="K206" s="113"/>
    </row>
    <row r="207" spans="1:19" x14ac:dyDescent="0.55000000000000004">
      <c r="A207" t="s">
        <v>1101</v>
      </c>
      <c r="B207" s="113"/>
      <c r="C207" s="113"/>
      <c r="D207" s="114">
        <f>D200-D203-D204-D205</f>
        <v>-2033</v>
      </c>
      <c r="E207" s="114">
        <f>E200-E203-E204-E205</f>
        <v>-702</v>
      </c>
      <c r="F207" s="114">
        <f>F200-F203-F204-F205</f>
        <v>-2735</v>
      </c>
      <c r="I207" s="114">
        <f>I200-I203-I204-I205</f>
        <v>-3152</v>
      </c>
      <c r="J207" s="114">
        <f>J200-J203-J204-J205</f>
        <v>-753</v>
      </c>
      <c r="K207" s="114">
        <f>K200-K203-K204-K205</f>
        <v>-310</v>
      </c>
      <c r="L207" s="114">
        <f>L200-L203-L204-L205</f>
        <v>-1063</v>
      </c>
    </row>
    <row r="208" spans="1:19" x14ac:dyDescent="0.55000000000000004">
      <c r="A208" t="s">
        <v>171</v>
      </c>
      <c r="B208" s="113"/>
      <c r="C208" s="113"/>
      <c r="D208" s="113">
        <f>D207/D167</f>
        <v>-0.41079005859769652</v>
      </c>
      <c r="E208" s="113">
        <f>E207/E167</f>
        <v>-0.12682926829268293</v>
      </c>
      <c r="F208" s="113">
        <f>F207/F167</f>
        <v>-0.26087371232354062</v>
      </c>
      <c r="I208" s="113">
        <f>I207/I167</f>
        <v>-0.24208909370199694</v>
      </c>
      <c r="J208" s="113">
        <f>J207/J167</f>
        <v>-0.11832181018227531</v>
      </c>
      <c r="K208" s="113">
        <f>K207/K167</f>
        <v>-4.488850275123081E-2</v>
      </c>
      <c r="L208" s="113">
        <f>L207/L167</f>
        <v>-8.0105501130369253E-2</v>
      </c>
    </row>
    <row r="209" spans="1:12" x14ac:dyDescent="0.55000000000000004">
      <c r="B209" s="113"/>
      <c r="C209" s="113"/>
      <c r="D209" s="113"/>
      <c r="E209" s="113"/>
      <c r="F209" s="113"/>
      <c r="I209" s="113"/>
      <c r="J209" s="113"/>
      <c r="K209" s="113"/>
    </row>
    <row r="210" spans="1:12" x14ac:dyDescent="0.55000000000000004">
      <c r="A210" t="s">
        <v>1102</v>
      </c>
      <c r="B210" s="113"/>
      <c r="C210" s="113"/>
      <c r="D210" s="114">
        <f>D207+D205</f>
        <v>-1867</v>
      </c>
      <c r="E210" s="114">
        <f>E207+E205</f>
        <v>-527</v>
      </c>
      <c r="F210" s="114">
        <f>F207+F205</f>
        <v>-2394</v>
      </c>
      <c r="I210" s="114">
        <f>I207+I205</f>
        <v>-3493</v>
      </c>
      <c r="J210" s="114">
        <f>J207+J205</f>
        <v>-701</v>
      </c>
      <c r="K210" s="114">
        <f>K207+K205</f>
        <v>-329</v>
      </c>
      <c r="L210" s="114">
        <f>L207+L205</f>
        <v>-1030</v>
      </c>
    </row>
    <row r="211" spans="1:12" x14ac:dyDescent="0.55000000000000004">
      <c r="A211" t="s">
        <v>171</v>
      </c>
      <c r="B211" s="113"/>
      <c r="C211" s="113"/>
      <c r="D211" s="113">
        <f>D210/D167</f>
        <v>-0.37724792887452008</v>
      </c>
      <c r="E211" s="113">
        <f>E210/E167</f>
        <v>-9.5212285456187901E-2</v>
      </c>
      <c r="F211" s="113">
        <f>F210/F167</f>
        <v>-0.2283479587943533</v>
      </c>
      <c r="I211" s="113">
        <f>I210/I167</f>
        <v>-0.26827956989247309</v>
      </c>
      <c r="J211" s="113">
        <f>J210/J167</f>
        <v>-0.11015084852294155</v>
      </c>
      <c r="K211" s="113">
        <f>K210/K167</f>
        <v>-4.7639733565015926E-2</v>
      </c>
      <c r="L211" s="113">
        <f>L210/L167</f>
        <v>-7.7618688771665417E-2</v>
      </c>
    </row>
    <row r="212" spans="1:12" x14ac:dyDescent="0.55000000000000004">
      <c r="B212" s="113"/>
      <c r="C212" s="113"/>
      <c r="D212" s="113"/>
      <c r="E212" s="113"/>
      <c r="F212" s="113"/>
      <c r="G212" s="113"/>
      <c r="H212" s="113"/>
      <c r="I212" s="113"/>
    </row>
    <row r="213" spans="1:12" x14ac:dyDescent="0.55000000000000004">
      <c r="A213" t="s">
        <v>323</v>
      </c>
      <c r="B213" s="114"/>
      <c r="C213" s="113"/>
      <c r="D213" s="113"/>
      <c r="E213" s="113"/>
      <c r="H213" s="113"/>
      <c r="I213" s="113"/>
    </row>
    <row r="214" spans="1:12" x14ac:dyDescent="0.55000000000000004">
      <c r="C214" s="114"/>
      <c r="D214" s="113"/>
      <c r="E214" s="114"/>
      <c r="F214" s="113"/>
    </row>
    <row r="215" spans="1:12" x14ac:dyDescent="0.55000000000000004">
      <c r="A215" t="s">
        <v>325</v>
      </c>
      <c r="B215" s="114">
        <v>20000</v>
      </c>
      <c r="D215" s="113"/>
      <c r="E215" s="114"/>
      <c r="F215" s="113"/>
    </row>
    <row r="216" spans="1:12" x14ac:dyDescent="0.55000000000000004">
      <c r="A216" t="s">
        <v>324</v>
      </c>
      <c r="B216" s="154">
        <f>B215/V185</f>
        <v>18.164697825714775</v>
      </c>
      <c r="E216" s="114"/>
      <c r="F216" s="113"/>
    </row>
    <row r="217" spans="1:12" x14ac:dyDescent="0.55000000000000004">
      <c r="A217" t="s">
        <v>561</v>
      </c>
      <c r="B217" s="114">
        <f>AA185</f>
        <v>1345.1953589577731</v>
      </c>
      <c r="E217" s="114"/>
      <c r="F217" s="113"/>
    </row>
    <row r="218" spans="1:12" x14ac:dyDescent="0.55000000000000004">
      <c r="A218" t="s">
        <v>562</v>
      </c>
      <c r="B218" s="154">
        <f>B215/B217</f>
        <v>14.867728963542922</v>
      </c>
      <c r="E218" s="114"/>
      <c r="F218" s="113"/>
    </row>
    <row r="219" spans="1:12" x14ac:dyDescent="0.55000000000000004">
      <c r="A219" t="s">
        <v>1115</v>
      </c>
      <c r="B219" s="114">
        <f>B217*1.2</f>
        <v>1614.2344307493277</v>
      </c>
      <c r="E219" s="114"/>
      <c r="F219" s="113"/>
    </row>
    <row r="220" spans="1:12" x14ac:dyDescent="0.55000000000000004">
      <c r="A220" t="s">
        <v>1116</v>
      </c>
      <c r="B220" s="154">
        <f>B215/B219</f>
        <v>12.389774136285768</v>
      </c>
      <c r="E220" s="114"/>
      <c r="F220" s="113"/>
    </row>
    <row r="221" spans="1:12" x14ac:dyDescent="0.55000000000000004">
      <c r="C221" s="114"/>
      <c r="D221" s="113"/>
      <c r="E221" s="114"/>
      <c r="F221" s="113"/>
    </row>
    <row r="222" spans="1:12" x14ac:dyDescent="0.55000000000000004">
      <c r="A222" s="152" t="s">
        <v>326</v>
      </c>
    </row>
    <row r="223" spans="1:12" x14ac:dyDescent="0.55000000000000004">
      <c r="A223" s="108" t="s">
        <v>371</v>
      </c>
    </row>
    <row r="224" spans="1:12" x14ac:dyDescent="0.55000000000000004">
      <c r="A224" t="s">
        <v>545</v>
      </c>
      <c r="B224" t="s">
        <v>546</v>
      </c>
    </row>
    <row r="225" spans="1:27" x14ac:dyDescent="0.55000000000000004">
      <c r="A225" t="s">
        <v>328</v>
      </c>
      <c r="B225" t="s">
        <v>546</v>
      </c>
    </row>
    <row r="226" spans="1:27" x14ac:dyDescent="0.55000000000000004">
      <c r="A226" t="s">
        <v>548</v>
      </c>
      <c r="B226" t="s">
        <v>547</v>
      </c>
    </row>
    <row r="227" spans="1:27" x14ac:dyDescent="0.55000000000000004">
      <c r="A227" t="s">
        <v>388</v>
      </c>
    </row>
    <row r="228" spans="1:27" x14ac:dyDescent="0.55000000000000004">
      <c r="A228" s="108"/>
      <c r="R228" s="290">
        <v>45809</v>
      </c>
    </row>
    <row r="229" spans="1:27" x14ac:dyDescent="0.55000000000000004">
      <c r="B229" s="157" t="s">
        <v>138</v>
      </c>
      <c r="C229" s="157" t="s">
        <v>139</v>
      </c>
      <c r="D229" s="157" t="s">
        <v>140</v>
      </c>
      <c r="E229" s="157" t="s">
        <v>141</v>
      </c>
      <c r="F229" s="157" t="s">
        <v>142</v>
      </c>
      <c r="G229" s="157" t="s">
        <v>143</v>
      </c>
      <c r="H229" s="157" t="s">
        <v>144</v>
      </c>
      <c r="I229" s="157" t="s">
        <v>338</v>
      </c>
      <c r="J229" s="157" t="s">
        <v>339</v>
      </c>
      <c r="K229" s="157" t="s">
        <v>340</v>
      </c>
      <c r="L229" s="157" t="s">
        <v>340</v>
      </c>
      <c r="M229" s="157" t="s">
        <v>341</v>
      </c>
      <c r="N229" s="157"/>
      <c r="O229" s="157" t="s">
        <v>342</v>
      </c>
      <c r="Q229" s="159" t="s">
        <v>343</v>
      </c>
      <c r="R229" s="153" t="s">
        <v>337</v>
      </c>
    </row>
    <row r="230" spans="1:27" x14ac:dyDescent="0.55000000000000004">
      <c r="A230" s="110" t="s">
        <v>333</v>
      </c>
      <c r="B230" s="147" t="str">
        <f t="shared" ref="B230:I230" si="28">B72</f>
        <v>Q1 22</v>
      </c>
      <c r="C230" s="147" t="str">
        <f t="shared" si="28"/>
        <v>Q2 22</v>
      </c>
      <c r="D230" s="147" t="str">
        <f t="shared" si="28"/>
        <v>Q3 22</v>
      </c>
      <c r="E230" s="147" t="str">
        <f t="shared" si="28"/>
        <v>Q4 22</v>
      </c>
      <c r="F230" s="147" t="str">
        <f t="shared" si="28"/>
        <v>Q1 23</v>
      </c>
      <c r="G230" s="147" t="str">
        <f t="shared" si="28"/>
        <v>Q2 23</v>
      </c>
      <c r="H230" s="147" t="str">
        <f t="shared" si="28"/>
        <v>Q3 23</v>
      </c>
      <c r="I230" s="147" t="str">
        <f t="shared" si="28"/>
        <v>Q4 23</v>
      </c>
      <c r="J230" s="147" t="s">
        <v>144</v>
      </c>
      <c r="K230" s="147" t="s">
        <v>338</v>
      </c>
      <c r="L230" s="147" t="s">
        <v>145</v>
      </c>
      <c r="M230" s="147" t="s">
        <v>146</v>
      </c>
      <c r="N230" s="147"/>
      <c r="O230" s="147" t="s">
        <v>147</v>
      </c>
      <c r="Q230" s="147">
        <v>2023</v>
      </c>
      <c r="R230" s="147">
        <v>2025</v>
      </c>
      <c r="U230" s="147" t="str">
        <f t="shared" ref="U230:Z230" si="29">F230</f>
        <v>Q1 23</v>
      </c>
      <c r="V230" s="147" t="str">
        <f t="shared" si="29"/>
        <v>Q2 23</v>
      </c>
      <c r="W230" s="147" t="str">
        <f t="shared" si="29"/>
        <v>Q3 23</v>
      </c>
      <c r="X230" s="147" t="str">
        <f t="shared" si="29"/>
        <v>Q4 23</v>
      </c>
      <c r="Y230" s="147" t="str">
        <f t="shared" si="29"/>
        <v>Q1 24</v>
      </c>
      <c r="Z230" s="147" t="str">
        <f t="shared" si="29"/>
        <v>Q2 24</v>
      </c>
      <c r="AA230" s="159"/>
    </row>
    <row r="231" spans="1:27" x14ac:dyDescent="0.55000000000000004">
      <c r="A231" t="s">
        <v>327</v>
      </c>
      <c r="B231" s="115">
        <v>2.2000000000000002</v>
      </c>
      <c r="C231" s="115">
        <v>2.7</v>
      </c>
      <c r="D231" s="115">
        <v>2.8</v>
      </c>
      <c r="E231" s="115">
        <v>3.8</v>
      </c>
      <c r="F231" s="115">
        <v>3.2</v>
      </c>
      <c r="G231" s="115">
        <v>4</v>
      </c>
      <c r="H231" s="115">
        <v>4.2</v>
      </c>
      <c r="I231" s="115">
        <v>5.5</v>
      </c>
      <c r="J231" s="115">
        <v>4.5999999999999996</v>
      </c>
      <c r="K231">
        <v>5.4</v>
      </c>
      <c r="Q231" s="115">
        <f>SUM(F231:I231)</f>
        <v>16.899999999999999</v>
      </c>
    </row>
    <row r="232" spans="1:27" x14ac:dyDescent="0.55000000000000004">
      <c r="A232" t="s">
        <v>328</v>
      </c>
      <c r="B232" s="115">
        <v>1</v>
      </c>
      <c r="C232" s="115">
        <v>1</v>
      </c>
      <c r="D232" s="115">
        <v>0.8</v>
      </c>
      <c r="E232" s="115">
        <v>0.5</v>
      </c>
      <c r="F232" s="115">
        <v>0.7</v>
      </c>
      <c r="G232" s="115">
        <v>0.6</v>
      </c>
      <c r="H232" s="115">
        <v>0.6</v>
      </c>
      <c r="I232" s="115">
        <v>0.8</v>
      </c>
      <c r="J232" s="115">
        <v>0.8</v>
      </c>
      <c r="K232">
        <v>0.8</v>
      </c>
      <c r="Q232" s="115">
        <f>SUM(F232:I232)</f>
        <v>2.7</v>
      </c>
    </row>
    <row r="233" spans="1:27" x14ac:dyDescent="0.55000000000000004">
      <c r="A233" s="90" t="s">
        <v>329</v>
      </c>
      <c r="B233" s="155">
        <v>0.8</v>
      </c>
      <c r="C233" s="155">
        <v>0.8</v>
      </c>
      <c r="D233" s="155">
        <v>0.8</v>
      </c>
      <c r="E233" s="155">
        <v>1.3</v>
      </c>
      <c r="F233" s="155">
        <v>0.8</v>
      </c>
      <c r="G233" s="155">
        <v>0.9</v>
      </c>
      <c r="H233" s="155">
        <v>0.9</v>
      </c>
      <c r="I233" s="155">
        <v>1.2</v>
      </c>
      <c r="J233" s="155">
        <v>0.9</v>
      </c>
      <c r="K233" s="155">
        <v>1</v>
      </c>
      <c r="L233" s="90"/>
      <c r="M233" s="90"/>
      <c r="N233" s="90"/>
      <c r="O233" s="90"/>
      <c r="Q233" s="155">
        <f>SUM(F233:I233)</f>
        <v>3.8</v>
      </c>
      <c r="R233" s="90"/>
      <c r="U233" s="90"/>
      <c r="V233" s="90"/>
      <c r="W233" s="90"/>
      <c r="X233" s="90"/>
      <c r="Y233" s="90"/>
      <c r="Z233" s="90"/>
    </row>
    <row r="234" spans="1:27" x14ac:dyDescent="0.55000000000000004">
      <c r="A234" s="108" t="s">
        <v>282</v>
      </c>
      <c r="B234" s="156">
        <f t="shared" ref="B234:I234" si="30">SUM(B231:B233)</f>
        <v>4</v>
      </c>
      <c r="C234" s="156">
        <f t="shared" si="30"/>
        <v>4.5</v>
      </c>
      <c r="D234" s="156">
        <f t="shared" si="30"/>
        <v>4.3999999999999995</v>
      </c>
      <c r="E234" s="156">
        <f t="shared" si="30"/>
        <v>5.6</v>
      </c>
      <c r="F234" s="156">
        <f t="shared" si="30"/>
        <v>4.7</v>
      </c>
      <c r="G234" s="156">
        <f t="shared" si="30"/>
        <v>5.5</v>
      </c>
      <c r="H234" s="156">
        <f t="shared" si="30"/>
        <v>5.7</v>
      </c>
      <c r="I234" s="156">
        <f t="shared" si="30"/>
        <v>7.5</v>
      </c>
      <c r="J234" s="156">
        <f>SUM(J231:J233)</f>
        <v>6.3</v>
      </c>
      <c r="K234" s="156">
        <v>7.2</v>
      </c>
      <c r="L234" s="158">
        <v>6.89</v>
      </c>
      <c r="M234" s="158">
        <v>6.99</v>
      </c>
      <c r="N234" s="158"/>
      <c r="O234" s="158">
        <v>9.15</v>
      </c>
      <c r="Q234" s="156">
        <f>SUM(F234:I234)</f>
        <v>23.4</v>
      </c>
      <c r="R234" s="156"/>
      <c r="U234" s="113">
        <f t="shared" ref="U234:Z234" si="31">F234/B234-1</f>
        <v>0.17500000000000004</v>
      </c>
      <c r="V234" s="113">
        <f t="shared" si="31"/>
        <v>0.22222222222222232</v>
      </c>
      <c r="W234" s="113">
        <f t="shared" si="31"/>
        <v>0.29545454545454564</v>
      </c>
      <c r="X234" s="113">
        <f t="shared" si="31"/>
        <v>0.33928571428571441</v>
      </c>
      <c r="Y234" s="113">
        <f t="shared" si="31"/>
        <v>0.34042553191489344</v>
      </c>
      <c r="Z234" s="113">
        <f t="shared" si="31"/>
        <v>0.30909090909090908</v>
      </c>
      <c r="AA234" s="113"/>
    </row>
    <row r="235" spans="1:27" x14ac:dyDescent="0.55000000000000004">
      <c r="A235" s="108"/>
      <c r="B235" s="156"/>
      <c r="C235" s="156"/>
      <c r="D235" s="156"/>
      <c r="E235" s="156"/>
      <c r="F235" s="156"/>
      <c r="G235" s="156"/>
      <c r="H235" s="156"/>
      <c r="I235" s="156"/>
      <c r="J235" s="156"/>
      <c r="L235" s="158"/>
      <c r="M235" s="158"/>
      <c r="N235" s="158"/>
      <c r="O235" s="158"/>
      <c r="Q235" s="156"/>
      <c r="R235" s="156"/>
      <c r="U235" s="113"/>
      <c r="V235" s="113"/>
      <c r="W235" s="113"/>
      <c r="X235" s="113"/>
      <c r="Y235" s="113"/>
    </row>
    <row r="236" spans="1:27" x14ac:dyDescent="0.55000000000000004">
      <c r="A236" s="108" t="s">
        <v>1117</v>
      </c>
      <c r="B236" s="156"/>
      <c r="C236" s="156"/>
      <c r="D236" s="156"/>
      <c r="E236" s="156"/>
      <c r="F236" s="156"/>
      <c r="G236" s="156"/>
      <c r="H236" s="156"/>
      <c r="I236" s="156"/>
      <c r="J236" s="156"/>
      <c r="L236" s="158"/>
      <c r="M236" s="158"/>
      <c r="N236" s="158"/>
      <c r="O236" s="158"/>
      <c r="Q236" s="156"/>
      <c r="R236" s="156"/>
      <c r="U236" s="113"/>
      <c r="V236" s="113"/>
      <c r="W236" s="113"/>
      <c r="X236" s="113"/>
      <c r="Y236" s="113"/>
    </row>
    <row r="237" spans="1:27" x14ac:dyDescent="0.55000000000000004">
      <c r="A237" t="s">
        <v>1118</v>
      </c>
      <c r="B237" s="156"/>
      <c r="C237" s="156"/>
      <c r="D237" s="156"/>
      <c r="E237" s="156"/>
      <c r="F237" s="156"/>
      <c r="G237">
        <v>1.3</v>
      </c>
      <c r="H237" s="156"/>
      <c r="I237" s="156"/>
      <c r="J237" s="156"/>
      <c r="K237">
        <v>1.4</v>
      </c>
      <c r="L237" s="158"/>
      <c r="M237" s="158"/>
      <c r="N237" s="158"/>
      <c r="O237" s="158"/>
      <c r="Q237" s="156"/>
      <c r="R237" s="156"/>
      <c r="U237" s="113"/>
      <c r="V237" s="113"/>
      <c r="W237" s="113"/>
      <c r="X237" s="113"/>
      <c r="Y237" s="113"/>
    </row>
    <row r="238" spans="1:27" x14ac:dyDescent="0.55000000000000004">
      <c r="B238" s="156"/>
      <c r="C238" s="156"/>
      <c r="D238" s="156"/>
      <c r="E238" s="156"/>
      <c r="F238" s="156"/>
      <c r="G238" s="113">
        <f>G237/G234</f>
        <v>0.23636363636363636</v>
      </c>
      <c r="H238" s="156"/>
      <c r="I238" s="156"/>
      <c r="J238" s="156"/>
      <c r="K238" s="113">
        <f>K237/K234</f>
        <v>0.19444444444444442</v>
      </c>
      <c r="L238" s="158"/>
      <c r="M238" s="158"/>
      <c r="N238" s="158"/>
      <c r="O238" s="158"/>
      <c r="Q238" s="156"/>
      <c r="R238" s="156"/>
      <c r="U238" s="113"/>
      <c r="V238" s="113"/>
      <c r="W238" s="113"/>
      <c r="X238" s="113"/>
      <c r="Y238" s="113"/>
    </row>
    <row r="239" spans="1:27" x14ac:dyDescent="0.55000000000000004">
      <c r="A239" t="s">
        <v>1106</v>
      </c>
      <c r="B239" s="156"/>
      <c r="C239" s="156"/>
      <c r="D239" s="156"/>
      <c r="E239" s="156"/>
      <c r="F239" s="156"/>
      <c r="G239" s="115">
        <v>0.1</v>
      </c>
      <c r="H239" s="156"/>
      <c r="I239" s="156"/>
      <c r="J239" s="156"/>
      <c r="K239" s="115">
        <v>0.50700000000000001</v>
      </c>
      <c r="L239" s="158"/>
      <c r="M239" s="158"/>
      <c r="N239" s="158"/>
      <c r="O239" s="158"/>
      <c r="Q239" s="156"/>
      <c r="R239" s="156"/>
      <c r="U239" s="113"/>
      <c r="V239" s="113"/>
      <c r="W239" s="113"/>
      <c r="X239" s="113"/>
      <c r="Y239" s="113"/>
    </row>
    <row r="240" spans="1:27" x14ac:dyDescent="0.55000000000000004">
      <c r="A240" s="108"/>
      <c r="B240" s="156"/>
      <c r="C240" s="156"/>
      <c r="D240" s="156"/>
      <c r="E240" s="156"/>
      <c r="F240" s="156"/>
      <c r="G240" s="113">
        <f>G239/G234</f>
        <v>1.8181818181818184E-2</v>
      </c>
      <c r="H240" s="156"/>
      <c r="I240" s="156"/>
      <c r="J240" s="156"/>
      <c r="K240" s="113">
        <f>K239/K234</f>
        <v>7.0416666666666669E-2</v>
      </c>
      <c r="L240" s="158"/>
      <c r="M240" s="158"/>
      <c r="N240" s="158"/>
      <c r="O240" s="158"/>
      <c r="Q240" s="156"/>
      <c r="R240" s="156"/>
      <c r="U240" s="113"/>
      <c r="V240" s="113"/>
      <c r="W240" s="113"/>
      <c r="X240" s="113"/>
      <c r="Y240" s="113"/>
    </row>
    <row r="241" spans="1:25" x14ac:dyDescent="0.55000000000000004">
      <c r="A241" s="108"/>
      <c r="B241" s="156"/>
      <c r="C241" s="156"/>
      <c r="D241" s="156"/>
      <c r="E241" s="156"/>
      <c r="F241" s="156"/>
      <c r="G241" s="113">
        <f>(G239-C239)/(G234-C234)</f>
        <v>0.1</v>
      </c>
      <c r="H241" s="156"/>
      <c r="I241" s="156"/>
      <c r="J241" s="156"/>
      <c r="K241" s="113">
        <f>(K239-G239)/(K234-G234)</f>
        <v>0.23941176470588235</v>
      </c>
      <c r="L241" s="158"/>
      <c r="M241" s="158"/>
      <c r="N241" s="158"/>
      <c r="O241" s="158"/>
      <c r="Q241" s="156"/>
      <c r="R241" s="156"/>
      <c r="U241" s="113"/>
      <c r="V241" s="113"/>
      <c r="W241" s="113"/>
      <c r="X241" s="113"/>
      <c r="Y241" s="113"/>
    </row>
    <row r="242" spans="1:25" x14ac:dyDescent="0.55000000000000004">
      <c r="A242" s="108" t="s">
        <v>861</v>
      </c>
      <c r="B242" s="156"/>
      <c r="C242" s="156"/>
      <c r="D242" s="156"/>
      <c r="E242" s="156"/>
      <c r="F242" s="156"/>
      <c r="G242" s="156"/>
      <c r="H242" s="156"/>
      <c r="I242" s="156"/>
      <c r="J242" s="156"/>
      <c r="L242" s="158"/>
      <c r="M242" s="158"/>
      <c r="N242" s="158"/>
      <c r="O242" s="158"/>
      <c r="Q242" s="156"/>
      <c r="R242" s="156"/>
      <c r="U242" s="113"/>
      <c r="V242" s="113"/>
      <c r="W242" s="113"/>
      <c r="X242" s="113"/>
      <c r="Y242" s="113"/>
    </row>
    <row r="243" spans="1:25" x14ac:dyDescent="0.55000000000000004">
      <c r="A243" t="str">
        <f>A231</f>
        <v>Interest bearing</v>
      </c>
      <c r="B243" s="113">
        <f>B231/B$234</f>
        <v>0.55000000000000004</v>
      </c>
      <c r="C243" s="113">
        <f t="shared" ref="C243:J243" si="32">C231/C$234</f>
        <v>0.60000000000000009</v>
      </c>
      <c r="D243" s="113">
        <f t="shared" si="32"/>
        <v>0.63636363636363635</v>
      </c>
      <c r="E243" s="113">
        <f t="shared" si="32"/>
        <v>0.6785714285714286</v>
      </c>
      <c r="F243" s="113">
        <f t="shared" si="32"/>
        <v>0.68085106382978722</v>
      </c>
      <c r="G243" s="113">
        <f t="shared" si="32"/>
        <v>0.72727272727272729</v>
      </c>
      <c r="H243" s="113">
        <f t="shared" si="32"/>
        <v>0.73684210526315785</v>
      </c>
      <c r="I243" s="113">
        <f t="shared" si="32"/>
        <v>0.73333333333333328</v>
      </c>
      <c r="J243" s="113">
        <f t="shared" si="32"/>
        <v>0.73015873015873012</v>
      </c>
      <c r="K243" s="113">
        <f>K231/K$234</f>
        <v>0.75</v>
      </c>
      <c r="L243" s="158"/>
      <c r="M243" s="158"/>
      <c r="N243" s="158"/>
      <c r="O243" s="158"/>
      <c r="Q243" s="156"/>
      <c r="R243" s="156"/>
      <c r="U243" s="113"/>
      <c r="V243" s="113"/>
      <c r="W243" s="113"/>
      <c r="X243" s="113"/>
      <c r="Y243" s="113"/>
    </row>
    <row r="244" spans="1:25" x14ac:dyDescent="0.55000000000000004">
      <c r="A244" t="str">
        <f>A232</f>
        <v>Core 0%</v>
      </c>
      <c r="B244" s="113">
        <f t="shared" ref="B244:J244" si="33">B232/B$234</f>
        <v>0.25</v>
      </c>
      <c r="C244" s="113">
        <f t="shared" si="33"/>
        <v>0.22222222222222221</v>
      </c>
      <c r="D244" s="113">
        <f t="shared" si="33"/>
        <v>0.18181818181818185</v>
      </c>
      <c r="E244" s="113">
        <f t="shared" si="33"/>
        <v>8.9285714285714288E-2</v>
      </c>
      <c r="F244" s="113">
        <f t="shared" si="33"/>
        <v>0.14893617021276595</v>
      </c>
      <c r="G244" s="113">
        <f t="shared" si="33"/>
        <v>0.10909090909090909</v>
      </c>
      <c r="H244" s="113">
        <f t="shared" si="33"/>
        <v>0.10526315789473684</v>
      </c>
      <c r="I244" s="113">
        <f t="shared" si="33"/>
        <v>0.10666666666666667</v>
      </c>
      <c r="J244" s="113">
        <f t="shared" si="33"/>
        <v>0.126984126984127</v>
      </c>
      <c r="K244" s="113">
        <f>K232/K$234</f>
        <v>0.11111111111111112</v>
      </c>
      <c r="L244" s="158"/>
      <c r="M244" s="158"/>
      <c r="N244" s="158"/>
      <c r="O244" s="158"/>
      <c r="Q244" s="156"/>
      <c r="R244" s="156"/>
      <c r="U244" s="113"/>
      <c r="V244" s="113"/>
      <c r="W244" s="113"/>
      <c r="X244" s="113"/>
      <c r="Y244" s="113"/>
    </row>
    <row r="245" spans="1:25" x14ac:dyDescent="0.55000000000000004">
      <c r="A245" s="90" t="str">
        <f>A233</f>
        <v>Pay in 4 / split</v>
      </c>
      <c r="B245" s="118">
        <f t="shared" ref="B245:J245" si="34">B233/B$234</f>
        <v>0.2</v>
      </c>
      <c r="C245" s="118">
        <f t="shared" si="34"/>
        <v>0.17777777777777778</v>
      </c>
      <c r="D245" s="118">
        <f t="shared" si="34"/>
        <v>0.18181818181818185</v>
      </c>
      <c r="E245" s="118">
        <f t="shared" si="34"/>
        <v>0.23214285714285718</v>
      </c>
      <c r="F245" s="118">
        <f t="shared" si="34"/>
        <v>0.1702127659574468</v>
      </c>
      <c r="G245" s="118">
        <f t="shared" si="34"/>
        <v>0.16363636363636364</v>
      </c>
      <c r="H245" s="118">
        <f t="shared" si="34"/>
        <v>0.15789473684210525</v>
      </c>
      <c r="I245" s="118">
        <f t="shared" si="34"/>
        <v>0.16</v>
      </c>
      <c r="J245" s="118">
        <f t="shared" si="34"/>
        <v>0.14285714285714288</v>
      </c>
      <c r="K245" s="118">
        <f>K233/K$234</f>
        <v>0.1388888888888889</v>
      </c>
      <c r="L245" s="158"/>
      <c r="M245" s="158"/>
      <c r="N245" s="158"/>
      <c r="O245" s="158"/>
      <c r="Q245" s="156"/>
      <c r="R245" s="156"/>
      <c r="U245" s="113"/>
      <c r="V245" s="113"/>
      <c r="W245" s="113"/>
      <c r="X245" s="113"/>
      <c r="Y245" s="113"/>
    </row>
    <row r="246" spans="1:25" x14ac:dyDescent="0.55000000000000004">
      <c r="A246" t="s">
        <v>277</v>
      </c>
      <c r="B246" s="113">
        <f t="shared" ref="B246:J246" si="35">B234/B$234</f>
        <v>1</v>
      </c>
      <c r="C246" s="113">
        <f t="shared" si="35"/>
        <v>1</v>
      </c>
      <c r="D246" s="113">
        <f t="shared" si="35"/>
        <v>1</v>
      </c>
      <c r="E246" s="113">
        <f t="shared" si="35"/>
        <v>1</v>
      </c>
      <c r="F246" s="113">
        <f t="shared" si="35"/>
        <v>1</v>
      </c>
      <c r="G246" s="113">
        <f t="shared" si="35"/>
        <v>1</v>
      </c>
      <c r="H246" s="113">
        <f t="shared" si="35"/>
        <v>1</v>
      </c>
      <c r="I246" s="113">
        <f t="shared" si="35"/>
        <v>1</v>
      </c>
      <c r="J246" s="113">
        <f t="shared" si="35"/>
        <v>1</v>
      </c>
      <c r="K246" s="113">
        <f>K234/K$234</f>
        <v>1</v>
      </c>
      <c r="L246" s="158"/>
      <c r="M246" s="158"/>
      <c r="N246" s="158"/>
      <c r="O246" s="158"/>
      <c r="Q246" s="156"/>
      <c r="R246" s="156"/>
      <c r="U246" s="113"/>
      <c r="V246" s="113"/>
      <c r="W246" s="113"/>
      <c r="X246" s="113"/>
      <c r="Y246" s="113"/>
    </row>
    <row r="247" spans="1:25" x14ac:dyDescent="0.55000000000000004">
      <c r="B247" s="156"/>
      <c r="C247" s="156"/>
      <c r="D247" s="156"/>
      <c r="E247" s="156"/>
      <c r="F247" s="156"/>
      <c r="G247" s="156"/>
      <c r="H247" s="156"/>
      <c r="I247" s="156"/>
      <c r="J247" s="156"/>
      <c r="L247" s="158"/>
      <c r="M247" s="158"/>
      <c r="N247" s="158"/>
      <c r="O247" s="158"/>
      <c r="Q247" s="156"/>
      <c r="R247" s="156"/>
      <c r="U247" s="113"/>
      <c r="V247" s="113"/>
      <c r="W247" s="113"/>
      <c r="X247" s="113"/>
      <c r="Y247" s="113"/>
    </row>
    <row r="248" spans="1:25" x14ac:dyDescent="0.55000000000000004">
      <c r="A248" t="s">
        <v>279</v>
      </c>
      <c r="B248" s="115"/>
      <c r="C248" s="115"/>
      <c r="D248" s="115"/>
      <c r="E248" s="113"/>
      <c r="F248" s="113">
        <f t="shared" ref="F248:K248" si="36">F234/B234-1</f>
        <v>0.17500000000000004</v>
      </c>
      <c r="G248" s="113">
        <f t="shared" si="36"/>
        <v>0.22222222222222232</v>
      </c>
      <c r="H248" s="113">
        <f t="shared" si="36"/>
        <v>0.29545454545454564</v>
      </c>
      <c r="I248" s="113">
        <f t="shared" si="36"/>
        <v>0.33928571428571441</v>
      </c>
      <c r="J248" s="113">
        <f t="shared" si="36"/>
        <v>0.34042553191489344</v>
      </c>
      <c r="K248" s="113">
        <f t="shared" si="36"/>
        <v>0.30909090909090908</v>
      </c>
      <c r="L248" s="113">
        <f>L234/G234-1</f>
        <v>0.25272727272727269</v>
      </c>
      <c r="M248" s="113">
        <f>M234/H234-1</f>
        <v>0.22631578947368425</v>
      </c>
      <c r="N248" s="113"/>
      <c r="O248" s="113">
        <f>O234/I234-1</f>
        <v>0.21999999999999997</v>
      </c>
    </row>
    <row r="249" spans="1:25" x14ac:dyDescent="0.55000000000000004">
      <c r="B249" s="115"/>
      <c r="C249" s="115"/>
      <c r="D249" s="115"/>
      <c r="E249" s="113"/>
      <c r="F249" s="113"/>
      <c r="G249" s="113"/>
      <c r="H249" s="113"/>
      <c r="I249" s="113"/>
      <c r="J249" s="113"/>
    </row>
    <row r="250" spans="1:25" x14ac:dyDescent="0.55000000000000004">
      <c r="A250" s="108" t="s">
        <v>554</v>
      </c>
      <c r="B250" s="115"/>
      <c r="C250" s="115"/>
      <c r="D250" s="115"/>
      <c r="E250" s="113"/>
      <c r="F250" s="113"/>
      <c r="G250" s="113"/>
      <c r="H250" s="113"/>
      <c r="I250" s="113"/>
    </row>
    <row r="251" spans="1:25" x14ac:dyDescent="0.55000000000000004">
      <c r="A251" t="s">
        <v>550</v>
      </c>
      <c r="B251" s="112">
        <v>0.06</v>
      </c>
      <c r="C251" s="112">
        <v>0.06</v>
      </c>
      <c r="D251" s="112">
        <v>0.06</v>
      </c>
      <c r="E251" s="112">
        <v>0.06</v>
      </c>
      <c r="F251" s="112">
        <v>0.06</v>
      </c>
      <c r="G251" s="112">
        <v>0.06</v>
      </c>
      <c r="H251" s="112">
        <v>0.06</v>
      </c>
      <c r="I251" s="112">
        <v>0.06</v>
      </c>
      <c r="J251" s="112">
        <v>0.05</v>
      </c>
      <c r="K251" s="112">
        <v>0.06</v>
      </c>
    </row>
    <row r="252" spans="1:25" x14ac:dyDescent="0.55000000000000004">
      <c r="A252" t="s">
        <v>549</v>
      </c>
      <c r="B252" s="112">
        <v>0.12</v>
      </c>
      <c r="C252" s="112">
        <v>0.12</v>
      </c>
      <c r="D252" s="112">
        <v>0.12</v>
      </c>
      <c r="E252" s="112">
        <v>0.12</v>
      </c>
      <c r="F252" s="112">
        <v>0.12</v>
      </c>
      <c r="G252" s="112">
        <v>0.12</v>
      </c>
      <c r="H252" s="112">
        <v>0.125</v>
      </c>
      <c r="I252" s="112">
        <v>0.13</v>
      </c>
      <c r="J252" s="112">
        <v>0.124</v>
      </c>
      <c r="K252" s="112">
        <v>0.12</v>
      </c>
    </row>
    <row r="253" spans="1:25" x14ac:dyDescent="0.55000000000000004">
      <c r="A253" t="s">
        <v>545</v>
      </c>
      <c r="B253" s="112">
        <v>0.05</v>
      </c>
      <c r="C253" s="112">
        <v>0.05</v>
      </c>
      <c r="D253" s="112">
        <v>0.05</v>
      </c>
      <c r="E253" s="112">
        <v>0.05</v>
      </c>
      <c r="F253" s="112">
        <v>0.05</v>
      </c>
      <c r="G253" s="112">
        <v>0.05</v>
      </c>
      <c r="H253" s="112">
        <v>0.05</v>
      </c>
      <c r="I253" s="112">
        <v>0.05</v>
      </c>
      <c r="J253" s="112">
        <v>5.2499999999999998E-2</v>
      </c>
      <c r="K253" s="112">
        <v>5.2499999999999998E-2</v>
      </c>
    </row>
    <row r="254" spans="1:25" x14ac:dyDescent="0.55000000000000004">
      <c r="A254" t="s">
        <v>551</v>
      </c>
      <c r="B254" s="112">
        <v>2.5000000000000001E-2</v>
      </c>
      <c r="C254" s="112">
        <v>2.5000000000000001E-2</v>
      </c>
      <c r="D254" s="112">
        <v>2.5000000000000001E-2</v>
      </c>
      <c r="E254" s="112">
        <v>2.5000000000000001E-2</v>
      </c>
      <c r="F254" s="112">
        <v>2.5000000000000001E-2</v>
      </c>
      <c r="G254" s="112">
        <v>2.5000000000000001E-2</v>
      </c>
      <c r="H254" s="112">
        <v>2.5000000000000001E-2</v>
      </c>
      <c r="I254" s="112">
        <v>2.5000000000000001E-2</v>
      </c>
      <c r="J254" s="112">
        <v>2.5000000000000001E-2</v>
      </c>
      <c r="K254" s="112">
        <v>2.5000000000000001E-2</v>
      </c>
    </row>
    <row r="255" spans="1:25" x14ac:dyDescent="0.55000000000000004">
      <c r="B255" s="115"/>
      <c r="C255" s="115"/>
      <c r="D255" s="115"/>
      <c r="E255" s="113"/>
      <c r="F255" s="113"/>
      <c r="G255" s="113"/>
      <c r="H255" s="113"/>
      <c r="I255" s="113"/>
      <c r="J255" s="113"/>
    </row>
    <row r="256" spans="1:25" x14ac:dyDescent="0.55000000000000004">
      <c r="A256" s="108" t="s">
        <v>552</v>
      </c>
      <c r="B256" s="115"/>
      <c r="C256" s="115"/>
      <c r="D256" s="115"/>
      <c r="E256" s="113"/>
      <c r="F256" s="113"/>
      <c r="G256" s="113"/>
      <c r="H256" s="113"/>
      <c r="I256" s="113"/>
      <c r="J256" s="113"/>
    </row>
    <row r="257" spans="1:27" x14ac:dyDescent="0.55000000000000004">
      <c r="A257" t="str">
        <f>A251</f>
        <v>Core 0% short</v>
      </c>
      <c r="B257" s="115">
        <f t="shared" ref="B257:I257" si="37">B251*0.5*B232*1000</f>
        <v>30</v>
      </c>
      <c r="C257" s="115">
        <f t="shared" si="37"/>
        <v>30</v>
      </c>
      <c r="D257" s="115">
        <f t="shared" si="37"/>
        <v>24</v>
      </c>
      <c r="E257" s="115">
        <f t="shared" si="37"/>
        <v>15</v>
      </c>
      <c r="F257" s="115">
        <f t="shared" si="37"/>
        <v>20.999999999999996</v>
      </c>
      <c r="G257" s="115">
        <f t="shared" si="37"/>
        <v>18</v>
      </c>
      <c r="H257" s="115">
        <f t="shared" si="37"/>
        <v>18</v>
      </c>
      <c r="I257" s="115">
        <f t="shared" si="37"/>
        <v>24</v>
      </c>
      <c r="J257" s="115">
        <f>J251*0.5*J232*1000</f>
        <v>20.000000000000004</v>
      </c>
      <c r="K257" s="115">
        <f>K251*0.5*K232*1000</f>
        <v>24</v>
      </c>
      <c r="U257" s="113">
        <f t="shared" ref="U257:Z261" si="38">F257/B257-1</f>
        <v>-0.30000000000000016</v>
      </c>
      <c r="V257" s="113">
        <f t="shared" si="38"/>
        <v>-0.4</v>
      </c>
      <c r="W257" s="113">
        <f t="shared" si="38"/>
        <v>-0.25</v>
      </c>
      <c r="X257" s="113">
        <f t="shared" si="38"/>
        <v>0.60000000000000009</v>
      </c>
      <c r="Y257" s="113">
        <f t="shared" si="38"/>
        <v>-4.7619047619047339E-2</v>
      </c>
      <c r="Z257" s="113">
        <f t="shared" si="38"/>
        <v>0.33333333333333326</v>
      </c>
      <c r="AA257" s="113"/>
    </row>
    <row r="258" spans="1:27" x14ac:dyDescent="0.55000000000000004">
      <c r="A258" t="str">
        <f>A252</f>
        <v>Core 0% long</v>
      </c>
      <c r="B258" s="115">
        <f t="shared" ref="B258:I258" si="39">B252*0.5*B232*1000</f>
        <v>60</v>
      </c>
      <c r="C258" s="115">
        <f t="shared" si="39"/>
        <v>60</v>
      </c>
      <c r="D258" s="115">
        <f t="shared" si="39"/>
        <v>48</v>
      </c>
      <c r="E258" s="115">
        <f t="shared" si="39"/>
        <v>30</v>
      </c>
      <c r="F258" s="115">
        <f t="shared" si="39"/>
        <v>41.999999999999993</v>
      </c>
      <c r="G258" s="115">
        <f t="shared" si="39"/>
        <v>36</v>
      </c>
      <c r="H258" s="115">
        <f t="shared" si="39"/>
        <v>37.5</v>
      </c>
      <c r="I258" s="115">
        <f t="shared" si="39"/>
        <v>52.000000000000007</v>
      </c>
      <c r="J258" s="115">
        <f>J252*0.5*J232*1000</f>
        <v>49.600000000000009</v>
      </c>
      <c r="K258" s="115">
        <f>K252*0.5*K232*1000</f>
        <v>48</v>
      </c>
      <c r="U258" s="113">
        <f t="shared" si="38"/>
        <v>-0.30000000000000016</v>
      </c>
      <c r="V258" s="113">
        <f t="shared" si="38"/>
        <v>-0.4</v>
      </c>
      <c r="W258" s="113">
        <f t="shared" si="38"/>
        <v>-0.21875</v>
      </c>
      <c r="X258" s="113">
        <f t="shared" si="38"/>
        <v>0.73333333333333361</v>
      </c>
      <c r="Y258" s="113">
        <f t="shared" si="38"/>
        <v>0.18095238095238142</v>
      </c>
      <c r="Z258" s="113">
        <f t="shared" si="38"/>
        <v>0.33333333333333326</v>
      </c>
      <c r="AA258" s="113"/>
    </row>
    <row r="259" spans="1:27" x14ac:dyDescent="0.55000000000000004">
      <c r="A259" t="str">
        <f>A253</f>
        <v>Pay in 4</v>
      </c>
      <c r="B259" s="115">
        <f t="shared" ref="B259:I259" si="40">B253*0.5*B233*1000</f>
        <v>20.000000000000004</v>
      </c>
      <c r="C259" s="115">
        <f t="shared" si="40"/>
        <v>20.000000000000004</v>
      </c>
      <c r="D259" s="115">
        <f t="shared" si="40"/>
        <v>20.000000000000004</v>
      </c>
      <c r="E259" s="115">
        <f t="shared" si="40"/>
        <v>32.5</v>
      </c>
      <c r="F259" s="115">
        <f t="shared" si="40"/>
        <v>20.000000000000004</v>
      </c>
      <c r="G259" s="115">
        <f t="shared" si="40"/>
        <v>22.500000000000004</v>
      </c>
      <c r="H259" s="115">
        <f t="shared" si="40"/>
        <v>22.500000000000004</v>
      </c>
      <c r="I259" s="115">
        <f t="shared" si="40"/>
        <v>30</v>
      </c>
      <c r="J259" s="115">
        <f>J253*0.5*J233*1000</f>
        <v>23.625</v>
      </c>
      <c r="K259" s="115">
        <f>K253*0.5*K233*1000</f>
        <v>26.25</v>
      </c>
      <c r="U259" s="113">
        <f t="shared" si="38"/>
        <v>0</v>
      </c>
      <c r="V259" s="113">
        <f t="shared" si="38"/>
        <v>0.125</v>
      </c>
      <c r="W259" s="113">
        <f t="shared" si="38"/>
        <v>0.125</v>
      </c>
      <c r="X259" s="113">
        <f t="shared" si="38"/>
        <v>-7.6923076923076872E-2</v>
      </c>
      <c r="Y259" s="113">
        <f t="shared" si="38"/>
        <v>0.18124999999999969</v>
      </c>
      <c r="Z259" s="113">
        <f t="shared" si="38"/>
        <v>0.16666666666666652</v>
      </c>
      <c r="AA259" s="113"/>
    </row>
    <row r="260" spans="1:27" x14ac:dyDescent="0.55000000000000004">
      <c r="A260" s="90" t="str">
        <f>A254</f>
        <v>IB</v>
      </c>
      <c r="B260" s="155">
        <f t="shared" ref="B260:I260" si="41">B254*0.5*B231*1000</f>
        <v>27.500000000000004</v>
      </c>
      <c r="C260" s="155">
        <f t="shared" si="41"/>
        <v>33.75</v>
      </c>
      <c r="D260" s="155">
        <f t="shared" si="41"/>
        <v>34.999999999999993</v>
      </c>
      <c r="E260" s="155">
        <f t="shared" si="41"/>
        <v>47.5</v>
      </c>
      <c r="F260" s="155">
        <f t="shared" si="41"/>
        <v>40.000000000000007</v>
      </c>
      <c r="G260" s="155">
        <f t="shared" si="41"/>
        <v>50</v>
      </c>
      <c r="H260" s="155">
        <f t="shared" si="41"/>
        <v>52.500000000000007</v>
      </c>
      <c r="I260" s="155">
        <f t="shared" si="41"/>
        <v>68.75</v>
      </c>
      <c r="J260" s="155">
        <f>J254*0.5*J231*1000</f>
        <v>57.499999999999993</v>
      </c>
      <c r="K260" s="155">
        <f>K254*0.5*K231*1000</f>
        <v>67.5</v>
      </c>
      <c r="U260" s="118">
        <f t="shared" si="38"/>
        <v>0.45454545454545459</v>
      </c>
      <c r="V260" s="118">
        <f t="shared" si="38"/>
        <v>0.4814814814814814</v>
      </c>
      <c r="W260" s="118">
        <f t="shared" si="38"/>
        <v>0.50000000000000044</v>
      </c>
      <c r="X260" s="118">
        <f t="shared" si="38"/>
        <v>0.44736842105263164</v>
      </c>
      <c r="Y260" s="118">
        <f t="shared" si="38"/>
        <v>0.43749999999999956</v>
      </c>
      <c r="Z260" s="118">
        <f t="shared" si="38"/>
        <v>0.35000000000000009</v>
      </c>
      <c r="AA260" s="113"/>
    </row>
    <row r="261" spans="1:27" x14ac:dyDescent="0.55000000000000004">
      <c r="A261" t="s">
        <v>553</v>
      </c>
      <c r="B261" s="115">
        <f t="shared" ref="B261:I261" si="42">SUM(B257:B260)</f>
        <v>137.5</v>
      </c>
      <c r="C261" s="115">
        <f t="shared" si="42"/>
        <v>143.75</v>
      </c>
      <c r="D261" s="115">
        <f t="shared" si="42"/>
        <v>127</v>
      </c>
      <c r="E261" s="115">
        <f t="shared" si="42"/>
        <v>125</v>
      </c>
      <c r="F261" s="115">
        <f t="shared" si="42"/>
        <v>123</v>
      </c>
      <c r="G261" s="115">
        <f t="shared" si="42"/>
        <v>126.5</v>
      </c>
      <c r="H261" s="115">
        <f t="shared" si="42"/>
        <v>130.5</v>
      </c>
      <c r="I261" s="115">
        <f t="shared" si="42"/>
        <v>174.75</v>
      </c>
      <c r="J261" s="115">
        <f>SUM(J257:J260)</f>
        <v>150.72499999999999</v>
      </c>
      <c r="K261" s="115">
        <f>SUM(K257:K260)</f>
        <v>165.75</v>
      </c>
      <c r="U261" s="113">
        <f t="shared" si="38"/>
        <v>-0.10545454545454547</v>
      </c>
      <c r="V261" s="113">
        <f t="shared" si="38"/>
        <v>-0.12</v>
      </c>
      <c r="W261" s="113">
        <f t="shared" si="38"/>
        <v>2.7559055118110187E-2</v>
      </c>
      <c r="X261" s="113">
        <f t="shared" si="38"/>
        <v>0.39799999999999991</v>
      </c>
      <c r="Y261" s="113">
        <f t="shared" si="38"/>
        <v>0.22540650406504059</v>
      </c>
      <c r="Z261" s="113">
        <f t="shared" si="38"/>
        <v>0.31027667984189722</v>
      </c>
      <c r="AA261" s="113"/>
    </row>
    <row r="262" spans="1:27" x14ac:dyDescent="0.55000000000000004">
      <c r="B262" s="115"/>
      <c r="C262" s="115"/>
      <c r="D262" s="115"/>
      <c r="E262" s="113"/>
      <c r="F262" s="113"/>
      <c r="G262" s="113"/>
      <c r="H262" s="113"/>
      <c r="I262" s="113"/>
      <c r="J262" s="113"/>
    </row>
    <row r="263" spans="1:27" x14ac:dyDescent="0.55000000000000004">
      <c r="A263" t="s">
        <v>348</v>
      </c>
      <c r="B263" s="115">
        <v>144</v>
      </c>
      <c r="C263" s="115">
        <v>150</v>
      </c>
      <c r="D263" s="115">
        <v>140</v>
      </c>
      <c r="E263" s="115">
        <v>163</v>
      </c>
      <c r="F263" s="115">
        <v>148</v>
      </c>
      <c r="G263" s="115">
        <v>175</v>
      </c>
      <c r="H263" s="115">
        <v>179</v>
      </c>
      <c r="I263" s="115">
        <v>228</v>
      </c>
      <c r="J263" s="115">
        <v>195</v>
      </c>
      <c r="K263" s="115">
        <v>224</v>
      </c>
      <c r="L263" s="115"/>
      <c r="M263" s="115"/>
      <c r="N263" s="115"/>
      <c r="O263" s="115"/>
      <c r="U263" s="113">
        <f t="shared" ref="U263:Z266" si="43">F263/B263-1</f>
        <v>2.7777777777777679E-2</v>
      </c>
      <c r="V263" s="113">
        <f t="shared" si="43"/>
        <v>0.16666666666666674</v>
      </c>
      <c r="W263" s="113">
        <f t="shared" si="43"/>
        <v>0.27857142857142847</v>
      </c>
      <c r="X263" s="113">
        <f t="shared" si="43"/>
        <v>0.39877300613496924</v>
      </c>
      <c r="Y263" s="113">
        <f t="shared" si="43"/>
        <v>0.31756756756756754</v>
      </c>
      <c r="Z263" s="113">
        <f t="shared" si="43"/>
        <v>0.28000000000000003</v>
      </c>
      <c r="AA263" s="113"/>
    </row>
    <row r="264" spans="1:27" x14ac:dyDescent="0.55000000000000004">
      <c r="A264" t="s">
        <v>310</v>
      </c>
      <c r="B264" s="115">
        <v>135</v>
      </c>
      <c r="C264" s="115">
        <v>138</v>
      </c>
      <c r="D264" s="115">
        <v>137</v>
      </c>
      <c r="E264" s="115">
        <v>155</v>
      </c>
      <c r="F264" s="115">
        <v>178</v>
      </c>
      <c r="G264" s="115">
        <v>215</v>
      </c>
      <c r="H264" s="115">
        <v>263</v>
      </c>
      <c r="I264" s="115">
        <v>288</v>
      </c>
      <c r="J264" s="115">
        <v>316</v>
      </c>
      <c r="K264" s="115">
        <v>337.6</v>
      </c>
      <c r="U264" s="113">
        <f t="shared" si="43"/>
        <v>0.31851851851851842</v>
      </c>
      <c r="V264" s="113">
        <f t="shared" si="43"/>
        <v>0.55797101449275366</v>
      </c>
      <c r="W264" s="113">
        <f t="shared" si="43"/>
        <v>0.91970802919708028</v>
      </c>
      <c r="X264" s="113">
        <f t="shared" si="43"/>
        <v>0.85806451612903234</v>
      </c>
      <c r="Y264" s="113">
        <f t="shared" si="43"/>
        <v>0.77528089887640439</v>
      </c>
      <c r="Z264" s="113">
        <f t="shared" si="43"/>
        <v>0.57023255813953488</v>
      </c>
      <c r="AA264" s="113"/>
    </row>
    <row r="265" spans="1:27" x14ac:dyDescent="0.55000000000000004">
      <c r="A265" t="s">
        <v>321</v>
      </c>
      <c r="B265" s="115">
        <f>B266-B263-B264</f>
        <v>76</v>
      </c>
      <c r="C265" s="115">
        <f t="shared" ref="C265:K265" si="44">C266-C263-C264</f>
        <v>76</v>
      </c>
      <c r="D265" s="115">
        <f t="shared" si="44"/>
        <v>85</v>
      </c>
      <c r="E265" s="115">
        <f t="shared" si="44"/>
        <v>82</v>
      </c>
      <c r="F265" s="115">
        <f t="shared" si="44"/>
        <v>55</v>
      </c>
      <c r="G265" s="115">
        <f t="shared" si="44"/>
        <v>55</v>
      </c>
      <c r="H265" s="115">
        <f t="shared" si="44"/>
        <v>55</v>
      </c>
      <c r="I265" s="115">
        <f t="shared" si="44"/>
        <v>75</v>
      </c>
      <c r="J265" s="115">
        <f t="shared" si="44"/>
        <v>65</v>
      </c>
      <c r="K265" s="115">
        <f t="shared" si="44"/>
        <v>97.399999999999977</v>
      </c>
      <c r="U265" s="118">
        <f t="shared" si="43"/>
        <v>-0.27631578947368418</v>
      </c>
      <c r="V265" s="118">
        <f t="shared" si="43"/>
        <v>-0.27631578947368418</v>
      </c>
      <c r="W265" s="118">
        <f t="shared" si="43"/>
        <v>-0.3529411764705882</v>
      </c>
      <c r="X265" s="118">
        <f t="shared" si="43"/>
        <v>-8.536585365853655E-2</v>
      </c>
      <c r="Y265" s="118">
        <f t="shared" si="43"/>
        <v>0.18181818181818188</v>
      </c>
      <c r="Z265" s="118">
        <f t="shared" si="43"/>
        <v>0.77090909090909054</v>
      </c>
      <c r="AA265" s="113"/>
    </row>
    <row r="266" spans="1:27" x14ac:dyDescent="0.55000000000000004">
      <c r="A266" s="108" t="s">
        <v>90</v>
      </c>
      <c r="B266" s="156">
        <v>355</v>
      </c>
      <c r="C266" s="156">
        <v>364</v>
      </c>
      <c r="D266" s="156">
        <v>362</v>
      </c>
      <c r="E266" s="156">
        <v>400</v>
      </c>
      <c r="F266" s="156">
        <v>381</v>
      </c>
      <c r="G266" s="156">
        <v>445</v>
      </c>
      <c r="H266" s="156">
        <v>497</v>
      </c>
      <c r="I266" s="156">
        <v>591</v>
      </c>
      <c r="J266" s="156">
        <v>576</v>
      </c>
      <c r="K266" s="156">
        <v>659</v>
      </c>
      <c r="L266" s="158">
        <v>600.29999999999995</v>
      </c>
      <c r="M266" s="158">
        <v>622.4</v>
      </c>
      <c r="N266" s="158"/>
      <c r="O266" s="158">
        <v>721.7</v>
      </c>
      <c r="Q266" s="115">
        <f>SUM(F266:I266)</f>
        <v>1914</v>
      </c>
      <c r="R266" s="115">
        <f>SUM(J266:O266)</f>
        <v>3179.3999999999996</v>
      </c>
      <c r="U266" s="113">
        <f t="shared" si="43"/>
        <v>7.3239436619718212E-2</v>
      </c>
      <c r="V266" s="113">
        <f t="shared" si="43"/>
        <v>0.22252747252747263</v>
      </c>
      <c r="W266" s="113">
        <f t="shared" si="43"/>
        <v>0.3729281767955801</v>
      </c>
      <c r="X266" s="113">
        <f t="shared" si="43"/>
        <v>0.47750000000000004</v>
      </c>
      <c r="Y266" s="113">
        <f t="shared" si="43"/>
        <v>0.51181102362204722</v>
      </c>
      <c r="Z266" s="113">
        <f t="shared" si="43"/>
        <v>0.48089887640449436</v>
      </c>
      <c r="AA266" s="113"/>
    </row>
    <row r="267" spans="1:27" x14ac:dyDescent="0.55000000000000004">
      <c r="A267" s="108" t="s">
        <v>856</v>
      </c>
      <c r="B267" s="112">
        <f t="shared" ref="B267:I267" si="45">(B266-B265)/(B234*1000)</f>
        <v>6.9750000000000006E-2</v>
      </c>
      <c r="C267" s="112">
        <f t="shared" si="45"/>
        <v>6.4000000000000001E-2</v>
      </c>
      <c r="D267" s="112">
        <f t="shared" si="45"/>
        <v>6.2954545454545471E-2</v>
      </c>
      <c r="E267" s="112">
        <f t="shared" si="45"/>
        <v>5.6785714285714287E-2</v>
      </c>
      <c r="F267" s="112">
        <f t="shared" si="45"/>
        <v>6.9361702127659575E-2</v>
      </c>
      <c r="G267" s="112">
        <f t="shared" si="45"/>
        <v>7.0909090909090908E-2</v>
      </c>
      <c r="H267" s="112">
        <f t="shared" si="45"/>
        <v>7.7543859649122804E-2</v>
      </c>
      <c r="I267" s="112">
        <f t="shared" si="45"/>
        <v>6.88E-2</v>
      </c>
      <c r="J267" s="112">
        <f>(J266-J265)/(J234*1000)</f>
        <v>8.1111111111111106E-2</v>
      </c>
      <c r="K267" s="112">
        <f>(K266-K265)/(K234*1000)</f>
        <v>7.8E-2</v>
      </c>
      <c r="L267" s="158"/>
      <c r="M267" s="158"/>
      <c r="N267" s="158"/>
      <c r="O267" s="158"/>
      <c r="Q267" s="115"/>
      <c r="R267" s="115"/>
      <c r="U267" s="113"/>
      <c r="V267" s="113"/>
      <c r="W267" s="113"/>
      <c r="X267" s="113"/>
      <c r="Y267" s="113"/>
      <c r="Z267" s="113"/>
      <c r="AA267" s="113"/>
    </row>
    <row r="268" spans="1:27" x14ac:dyDescent="0.55000000000000004">
      <c r="A268" t="s">
        <v>279</v>
      </c>
      <c r="B268" s="115"/>
      <c r="C268" s="115"/>
      <c r="D268" s="115"/>
      <c r="E268" s="113"/>
      <c r="F268" s="113">
        <f t="shared" ref="F268:K268" si="46">F266/B266-1</f>
        <v>7.3239436619718212E-2</v>
      </c>
      <c r="G268" s="113">
        <f t="shared" si="46"/>
        <v>0.22252747252747263</v>
      </c>
      <c r="H268" s="113">
        <f t="shared" si="46"/>
        <v>0.3729281767955801</v>
      </c>
      <c r="I268" s="113">
        <f t="shared" si="46"/>
        <v>0.47750000000000004</v>
      </c>
      <c r="J268" s="113">
        <f t="shared" si="46"/>
        <v>0.51181102362204722</v>
      </c>
      <c r="K268" s="113">
        <f t="shared" si="46"/>
        <v>0.48089887640449436</v>
      </c>
      <c r="L268" s="113">
        <f>L266/G266-1</f>
        <v>0.34898876404494361</v>
      </c>
      <c r="M268" s="113">
        <f>M266/H266-1</f>
        <v>0.25231388329979865</v>
      </c>
      <c r="N268" s="113"/>
      <c r="O268" s="113">
        <f>O266/I266-1</f>
        <v>0.22115059221658218</v>
      </c>
    </row>
    <row r="269" spans="1:27" x14ac:dyDescent="0.55000000000000004">
      <c r="B269" s="115"/>
      <c r="C269" s="115"/>
      <c r="D269" s="115"/>
      <c r="E269" s="113"/>
      <c r="F269" s="113"/>
      <c r="G269" s="113"/>
      <c r="H269" s="113"/>
      <c r="I269" s="113"/>
      <c r="J269" s="113"/>
    </row>
    <row r="270" spans="1:27" x14ac:dyDescent="0.55000000000000004">
      <c r="A270" t="s">
        <v>350</v>
      </c>
      <c r="B270">
        <v>172</v>
      </c>
      <c r="C270" s="115">
        <v>180</v>
      </c>
      <c r="D270" s="115">
        <v>179</v>
      </c>
      <c r="E270" s="115">
        <v>255</v>
      </c>
      <c r="F270" s="115">
        <v>214</v>
      </c>
      <c r="G270" s="115">
        <v>264</v>
      </c>
      <c r="H270" s="115">
        <v>284</v>
      </c>
      <c r="I270" s="115">
        <v>349</v>
      </c>
      <c r="J270" s="115">
        <v>345</v>
      </c>
      <c r="K270" s="115">
        <v>350</v>
      </c>
      <c r="L270" s="115">
        <v>344</v>
      </c>
      <c r="M270" s="115">
        <v>352.6</v>
      </c>
      <c r="N270" s="115"/>
      <c r="O270" s="115">
        <v>407.7</v>
      </c>
      <c r="Q270" s="115">
        <f>SUM(F270:I270)</f>
        <v>1111</v>
      </c>
      <c r="R270" s="115">
        <f>SUM(J270:O270)</f>
        <v>1799.3</v>
      </c>
      <c r="U270" s="113">
        <f t="shared" ref="U270:Z272" si="47">F270/B270-1</f>
        <v>0.2441860465116279</v>
      </c>
      <c r="V270" s="113">
        <f t="shared" si="47"/>
        <v>0.46666666666666656</v>
      </c>
      <c r="W270" s="113">
        <f t="shared" si="47"/>
        <v>0.58659217877094982</v>
      </c>
      <c r="X270" s="113">
        <f t="shared" si="47"/>
        <v>0.36862745098039218</v>
      </c>
      <c r="Y270" s="113">
        <f t="shared" si="47"/>
        <v>0.61214953271028039</v>
      </c>
      <c r="Z270" s="113">
        <f t="shared" si="47"/>
        <v>0.32575757575757569</v>
      </c>
      <c r="AA270" s="113"/>
    </row>
    <row r="271" spans="1:27" x14ac:dyDescent="0.55000000000000004">
      <c r="A271" t="s">
        <v>330</v>
      </c>
      <c r="B271">
        <v>106</v>
      </c>
      <c r="C271" s="115">
        <v>107</v>
      </c>
      <c r="D271" s="115">
        <v>115</v>
      </c>
      <c r="E271" s="115">
        <v>149</v>
      </c>
      <c r="F271" s="115">
        <v>148</v>
      </c>
      <c r="G271" s="115">
        <v>169</v>
      </c>
      <c r="H271" s="115">
        <v>184</v>
      </c>
      <c r="I271" s="115">
        <v>228</v>
      </c>
      <c r="J271" s="115">
        <v>223</v>
      </c>
      <c r="K271" s="115">
        <v>232</v>
      </c>
      <c r="L271" s="115">
        <f>L270-L272</f>
        <v>227.2</v>
      </c>
      <c r="M271" s="115">
        <f>M270-M272</f>
        <v>234.8</v>
      </c>
      <c r="N271" s="115"/>
      <c r="O271" s="115">
        <f>O270-O272</f>
        <v>271.60000000000002</v>
      </c>
      <c r="Q271" s="115">
        <f>SUM(F271:I271)</f>
        <v>729</v>
      </c>
      <c r="R271" s="115">
        <f>SUM(J271:O271)</f>
        <v>1188.5999999999999</v>
      </c>
      <c r="U271" s="113">
        <f t="shared" si="47"/>
        <v>0.39622641509433953</v>
      </c>
      <c r="V271" s="113">
        <f t="shared" si="47"/>
        <v>0.57943925233644866</v>
      </c>
      <c r="W271" s="113">
        <f t="shared" si="47"/>
        <v>0.60000000000000009</v>
      </c>
      <c r="X271" s="113">
        <f t="shared" si="47"/>
        <v>0.53020134228187921</v>
      </c>
      <c r="Y271" s="113">
        <f t="shared" si="47"/>
        <v>0.5067567567567568</v>
      </c>
      <c r="Z271" s="113">
        <f t="shared" si="47"/>
        <v>0.3727810650887573</v>
      </c>
      <c r="AA271" s="113"/>
    </row>
    <row r="272" spans="1:27" x14ac:dyDescent="0.55000000000000004">
      <c r="A272" t="s">
        <v>331</v>
      </c>
      <c r="B272">
        <f>B270-B271</f>
        <v>66</v>
      </c>
      <c r="C272">
        <f t="shared" ref="C272:K272" si="48">C270-C271</f>
        <v>73</v>
      </c>
      <c r="D272">
        <f t="shared" si="48"/>
        <v>64</v>
      </c>
      <c r="E272">
        <f t="shared" si="48"/>
        <v>106</v>
      </c>
      <c r="F272">
        <f t="shared" si="48"/>
        <v>66</v>
      </c>
      <c r="G272">
        <f t="shared" si="48"/>
        <v>95</v>
      </c>
      <c r="H272">
        <f t="shared" si="48"/>
        <v>100</v>
      </c>
      <c r="I272">
        <f t="shared" si="48"/>
        <v>121</v>
      </c>
      <c r="J272">
        <f t="shared" si="48"/>
        <v>122</v>
      </c>
      <c r="K272">
        <f t="shared" si="48"/>
        <v>118</v>
      </c>
      <c r="L272" s="107">
        <v>116.8</v>
      </c>
      <c r="M272" s="107">
        <v>117.8</v>
      </c>
      <c r="N272" s="107"/>
      <c r="O272" s="107">
        <v>136.1</v>
      </c>
      <c r="U272" s="113">
        <f t="shared" si="47"/>
        <v>0</v>
      </c>
      <c r="V272" s="113">
        <f t="shared" si="47"/>
        <v>0.30136986301369872</v>
      </c>
      <c r="W272" s="113">
        <f t="shared" si="47"/>
        <v>0.5625</v>
      </c>
      <c r="X272" s="113">
        <f t="shared" si="47"/>
        <v>0.14150943396226423</v>
      </c>
      <c r="Y272" s="113">
        <f t="shared" si="47"/>
        <v>0.8484848484848484</v>
      </c>
      <c r="Z272" s="113">
        <f t="shared" si="47"/>
        <v>0.24210526315789482</v>
      </c>
      <c r="AA272" s="113"/>
    </row>
    <row r="273" spans="1:27" x14ac:dyDescent="0.55000000000000004">
      <c r="A273" t="s">
        <v>311</v>
      </c>
      <c r="B273" s="112">
        <f t="shared" ref="B273:I273" si="49">B272/(B234*1000)</f>
        <v>1.6500000000000001E-2</v>
      </c>
      <c r="C273" s="112">
        <f t="shared" si="49"/>
        <v>1.6222222222222221E-2</v>
      </c>
      <c r="D273" s="112">
        <f t="shared" si="49"/>
        <v>1.4545454545454549E-2</v>
      </c>
      <c r="E273" s="112">
        <f t="shared" si="49"/>
        <v>1.892857142857143E-2</v>
      </c>
      <c r="F273" s="112">
        <f t="shared" si="49"/>
        <v>1.4042553191489362E-2</v>
      </c>
      <c r="G273" s="112">
        <f t="shared" si="49"/>
        <v>1.7272727272727273E-2</v>
      </c>
      <c r="H273" s="112">
        <f t="shared" si="49"/>
        <v>1.7543859649122806E-2</v>
      </c>
      <c r="I273" s="112">
        <f t="shared" si="49"/>
        <v>1.6133333333333333E-2</v>
      </c>
      <c r="J273" s="112">
        <f>J272/(J234*1000)</f>
        <v>1.9365079365079366E-2</v>
      </c>
      <c r="K273" s="112">
        <f>K272/(K234*1000)</f>
        <v>1.638888888888889E-2</v>
      </c>
      <c r="L273" s="112">
        <f>L272/(L234*1000)</f>
        <v>1.6952104499274308E-2</v>
      </c>
      <c r="M273" s="112">
        <f>M272/(M234*1000)</f>
        <v>1.6852646638054362E-2</v>
      </c>
      <c r="N273" s="112"/>
      <c r="O273" s="112">
        <f>O272/(O234*1000)</f>
        <v>1.4874316939890709E-2</v>
      </c>
    </row>
    <row r="274" spans="1:27" x14ac:dyDescent="0.55000000000000004">
      <c r="A274" t="s">
        <v>332</v>
      </c>
      <c r="B274" s="112">
        <f t="shared" ref="B274:I274" si="50">B272/B266</f>
        <v>0.18591549295774648</v>
      </c>
      <c r="C274" s="112">
        <f t="shared" si="50"/>
        <v>0.20054945054945056</v>
      </c>
      <c r="D274" s="112">
        <f t="shared" si="50"/>
        <v>0.17679558011049723</v>
      </c>
      <c r="E274" s="112">
        <f t="shared" si="50"/>
        <v>0.26500000000000001</v>
      </c>
      <c r="F274" s="112">
        <f t="shared" si="50"/>
        <v>0.17322834645669291</v>
      </c>
      <c r="G274" s="112">
        <f t="shared" si="50"/>
        <v>0.21348314606741572</v>
      </c>
      <c r="H274" s="112">
        <f t="shared" si="50"/>
        <v>0.2012072434607646</v>
      </c>
      <c r="I274" s="112">
        <f t="shared" si="50"/>
        <v>0.20473773265651438</v>
      </c>
      <c r="J274" s="112">
        <f>J272/J266</f>
        <v>0.21180555555555555</v>
      </c>
      <c r="K274" s="112">
        <f>K272/K266</f>
        <v>0.17905918057663125</v>
      </c>
      <c r="L274" s="112">
        <f>L272/L266</f>
        <v>0.19456938197567883</v>
      </c>
      <c r="M274" s="112">
        <f>M272/M266</f>
        <v>0.18926735218508997</v>
      </c>
      <c r="N274" s="112"/>
      <c r="O274" s="112">
        <f>O272/O266</f>
        <v>0.1885825135097686</v>
      </c>
    </row>
    <row r="275" spans="1:27" x14ac:dyDescent="0.55000000000000004">
      <c r="B275" s="115"/>
      <c r="C275" s="115"/>
      <c r="D275" s="115"/>
      <c r="E275" s="115"/>
      <c r="F275" s="113"/>
      <c r="G275" s="113"/>
      <c r="H275" s="113"/>
      <c r="I275" s="113"/>
    </row>
    <row r="276" spans="1:27" x14ac:dyDescent="0.55000000000000004">
      <c r="A276" t="s">
        <v>253</v>
      </c>
      <c r="B276" s="112">
        <f t="shared" ref="B276:J276" si="51">B266/(B234*1000)</f>
        <v>8.8749999999999996E-2</v>
      </c>
      <c r="C276" s="112">
        <f t="shared" si="51"/>
        <v>8.0888888888888885E-2</v>
      </c>
      <c r="D276" s="112">
        <f t="shared" si="51"/>
        <v>8.2272727272727289E-2</v>
      </c>
      <c r="E276" s="112">
        <f t="shared" si="51"/>
        <v>7.1428571428571425E-2</v>
      </c>
      <c r="F276" s="112">
        <f t="shared" si="51"/>
        <v>8.1063829787234046E-2</v>
      </c>
      <c r="G276" s="112">
        <f t="shared" si="51"/>
        <v>8.0909090909090903E-2</v>
      </c>
      <c r="H276" s="112">
        <f t="shared" si="51"/>
        <v>8.719298245614035E-2</v>
      </c>
      <c r="I276" s="112">
        <f t="shared" si="51"/>
        <v>7.8799999999999995E-2</v>
      </c>
      <c r="J276" s="112">
        <f t="shared" si="51"/>
        <v>9.1428571428571428E-2</v>
      </c>
      <c r="K276" s="112">
        <f>K266/(K234*1000)</f>
        <v>9.1527777777777777E-2</v>
      </c>
      <c r="L276" s="112">
        <f>L266/(L234*1000)</f>
        <v>8.7126269956458627E-2</v>
      </c>
      <c r="M276" s="112">
        <f>M266/(M234*1000)</f>
        <v>8.9041487839771102E-2</v>
      </c>
      <c r="N276" s="112"/>
      <c r="O276" s="112">
        <f>O266/(O234*1000)</f>
        <v>7.8874316939890721E-2</v>
      </c>
    </row>
    <row r="277" spans="1:27" x14ac:dyDescent="0.55000000000000004">
      <c r="A277" t="s">
        <v>1093</v>
      </c>
      <c r="B277" s="115">
        <f>B266-B270</f>
        <v>183</v>
      </c>
      <c r="C277" s="115">
        <f t="shared" ref="C277:K277" si="52">C266-C270</f>
        <v>184</v>
      </c>
      <c r="D277" s="115">
        <f t="shared" si="52"/>
        <v>183</v>
      </c>
      <c r="E277" s="115">
        <f t="shared" si="52"/>
        <v>145</v>
      </c>
      <c r="F277" s="115">
        <f t="shared" si="52"/>
        <v>167</v>
      </c>
      <c r="G277" s="115">
        <f t="shared" si="52"/>
        <v>181</v>
      </c>
      <c r="H277" s="115">
        <f t="shared" si="52"/>
        <v>213</v>
      </c>
      <c r="I277" s="115">
        <f t="shared" si="52"/>
        <v>242</v>
      </c>
      <c r="J277" s="115">
        <f t="shared" si="52"/>
        <v>231</v>
      </c>
      <c r="K277" s="115">
        <f t="shared" si="52"/>
        <v>309</v>
      </c>
      <c r="L277" s="115">
        <f>L266-L270</f>
        <v>256.29999999999995</v>
      </c>
      <c r="M277" s="115">
        <f>M266-M270</f>
        <v>269.79999999999995</v>
      </c>
      <c r="N277" s="115"/>
      <c r="O277" s="115">
        <f>O266-O270</f>
        <v>314.00000000000006</v>
      </c>
      <c r="Q277" s="115">
        <f>SUM(H277:K277)</f>
        <v>995</v>
      </c>
      <c r="R277" s="115" cm="1">
        <f t="array" ref="R277">_xll.VAData("AFRM_US", "FY-2025", "Revenue less transaction costs", "Consensus", "CD", "IMPL","","")</f>
        <v>1314.1147532801881</v>
      </c>
      <c r="U277" s="113">
        <f t="shared" ref="U277:Z277" si="53">F277/B277-1</f>
        <v>-8.7431693989071024E-2</v>
      </c>
      <c r="V277" s="113">
        <f t="shared" si="53"/>
        <v>-1.6304347826086918E-2</v>
      </c>
      <c r="W277" s="113">
        <f t="shared" si="53"/>
        <v>0.16393442622950816</v>
      </c>
      <c r="X277" s="113">
        <f t="shared" si="53"/>
        <v>0.66896551724137931</v>
      </c>
      <c r="Y277" s="113">
        <f t="shared" si="53"/>
        <v>0.38323353293413165</v>
      </c>
      <c r="Z277" s="113">
        <f t="shared" si="53"/>
        <v>0.70718232044198892</v>
      </c>
      <c r="AA277" s="113"/>
    </row>
    <row r="278" spans="1:27" x14ac:dyDescent="0.55000000000000004">
      <c r="A278" t="s">
        <v>279</v>
      </c>
      <c r="B278" s="115"/>
      <c r="C278" s="115"/>
      <c r="D278" s="115"/>
      <c r="E278" s="113"/>
      <c r="F278" s="113">
        <f t="shared" ref="F278:K278" si="54">F277/B277-1</f>
        <v>-8.7431693989071024E-2</v>
      </c>
      <c r="G278" s="113">
        <f t="shared" si="54"/>
        <v>-1.6304347826086918E-2</v>
      </c>
      <c r="H278" s="113">
        <f t="shared" si="54"/>
        <v>0.16393442622950816</v>
      </c>
      <c r="I278" s="113">
        <f t="shared" si="54"/>
        <v>0.66896551724137931</v>
      </c>
      <c r="J278" s="113">
        <f t="shared" si="54"/>
        <v>0.38323353293413165</v>
      </c>
      <c r="K278" s="113">
        <f t="shared" si="54"/>
        <v>0.70718232044198892</v>
      </c>
      <c r="L278" s="113">
        <f>L277/G277-1</f>
        <v>0.41602209944751367</v>
      </c>
      <c r="M278" s="113">
        <f>M277/H277-1</f>
        <v>0.26666666666666639</v>
      </c>
      <c r="N278" s="113"/>
      <c r="O278" s="113">
        <f>O277/I277-1</f>
        <v>0.29752066115702513</v>
      </c>
    </row>
    <row r="279" spans="1:27" x14ac:dyDescent="0.55000000000000004">
      <c r="A279" t="s">
        <v>171</v>
      </c>
      <c r="B279" s="112">
        <f>B277/B266</f>
        <v>0.51549295774647885</v>
      </c>
      <c r="C279" s="112">
        <f t="shared" ref="C279:J279" si="55">C277/C266</f>
        <v>0.50549450549450547</v>
      </c>
      <c r="D279" s="112">
        <f t="shared" si="55"/>
        <v>0.50552486187845302</v>
      </c>
      <c r="E279" s="112">
        <f t="shared" si="55"/>
        <v>0.36249999999999999</v>
      </c>
      <c r="F279" s="112">
        <f t="shared" si="55"/>
        <v>0.43832020997375326</v>
      </c>
      <c r="G279" s="112">
        <f t="shared" si="55"/>
        <v>0.40674157303370789</v>
      </c>
      <c r="H279" s="112">
        <f t="shared" si="55"/>
        <v>0.42857142857142855</v>
      </c>
      <c r="I279" s="112">
        <f t="shared" si="55"/>
        <v>0.40947546531302875</v>
      </c>
      <c r="J279" s="112">
        <f t="shared" si="55"/>
        <v>0.40104166666666669</v>
      </c>
      <c r="K279" s="112">
        <f>K277/K266</f>
        <v>0.46889226100151743</v>
      </c>
      <c r="L279" s="112">
        <f t="shared" ref="L279:Q279" si="56">L277/L266</f>
        <v>0.42695319007163079</v>
      </c>
      <c r="M279" s="112">
        <f t="shared" si="56"/>
        <v>0.43348329048843182</v>
      </c>
      <c r="N279" s="112"/>
      <c r="O279" s="112">
        <f t="shared" si="56"/>
        <v>0.43508382984619653</v>
      </c>
      <c r="Q279" s="112">
        <f t="shared" si="56"/>
        <v>0.51985370950888188</v>
      </c>
      <c r="R279" s="112">
        <f>R277/R266</f>
        <v>0.41332161831798081</v>
      </c>
    </row>
    <row r="280" spans="1:27" x14ac:dyDescent="0.55000000000000004">
      <c r="B280" s="112"/>
      <c r="C280" s="112"/>
      <c r="D280" s="112"/>
      <c r="E280" s="112"/>
      <c r="F280" s="112"/>
      <c r="G280" s="112"/>
      <c r="H280" s="112"/>
    </row>
    <row r="281" spans="1:27" x14ac:dyDescent="0.55000000000000004">
      <c r="A281" t="s">
        <v>1094</v>
      </c>
      <c r="B281" s="115">
        <f>B277+B272</f>
        <v>249</v>
      </c>
      <c r="C281" s="115">
        <f t="shared" ref="C281:O281" si="57">C277+C272</f>
        <v>257</v>
      </c>
      <c r="D281" s="115">
        <f t="shared" si="57"/>
        <v>247</v>
      </c>
      <c r="E281" s="115">
        <f t="shared" si="57"/>
        <v>251</v>
      </c>
      <c r="F281" s="115">
        <f t="shared" si="57"/>
        <v>233</v>
      </c>
      <c r="G281" s="115">
        <f t="shared" si="57"/>
        <v>276</v>
      </c>
      <c r="H281" s="115">
        <f t="shared" si="57"/>
        <v>313</v>
      </c>
      <c r="I281" s="115">
        <f t="shared" si="57"/>
        <v>363</v>
      </c>
      <c r="J281" s="115">
        <f t="shared" si="57"/>
        <v>353</v>
      </c>
      <c r="K281" s="115">
        <f t="shared" si="57"/>
        <v>427</v>
      </c>
      <c r="L281" s="115">
        <f t="shared" si="57"/>
        <v>373.09999999999997</v>
      </c>
      <c r="M281" s="115">
        <f t="shared" si="57"/>
        <v>387.59999999999997</v>
      </c>
      <c r="N281" s="115"/>
      <c r="O281" s="115">
        <f t="shared" si="57"/>
        <v>450.1</v>
      </c>
      <c r="U281" s="113">
        <f t="shared" ref="U281:Z281" si="58">F281/B281-1</f>
        <v>-6.4257028112449821E-2</v>
      </c>
      <c r="V281" s="113">
        <f t="shared" si="58"/>
        <v>7.3929961089494123E-2</v>
      </c>
      <c r="W281" s="113">
        <f t="shared" si="58"/>
        <v>0.2672064777327936</v>
      </c>
      <c r="X281" s="113">
        <f t="shared" si="58"/>
        <v>0.44621513944223112</v>
      </c>
      <c r="Y281" s="113">
        <f t="shared" si="58"/>
        <v>0.51502145922746778</v>
      </c>
      <c r="Z281" s="113">
        <f t="shared" si="58"/>
        <v>0.54710144927536231</v>
      </c>
      <c r="AA281" s="113"/>
    </row>
    <row r="282" spans="1:27" x14ac:dyDescent="0.55000000000000004">
      <c r="B282" s="112"/>
      <c r="C282" s="112"/>
      <c r="D282" s="112"/>
      <c r="E282" s="112"/>
      <c r="F282" s="112"/>
      <c r="G282" s="112"/>
      <c r="H282" s="112"/>
    </row>
    <row r="283" spans="1:27" x14ac:dyDescent="0.55000000000000004">
      <c r="A283" t="s">
        <v>1112</v>
      </c>
      <c r="C283">
        <v>135</v>
      </c>
      <c r="D283">
        <v>145</v>
      </c>
      <c r="E283">
        <v>157</v>
      </c>
      <c r="F283">
        <v>162</v>
      </c>
      <c r="G283">
        <v>152</v>
      </c>
      <c r="H283">
        <v>133</v>
      </c>
      <c r="I283">
        <v>120</v>
      </c>
      <c r="J283">
        <v>125</v>
      </c>
      <c r="K283">
        <v>124</v>
      </c>
    </row>
    <row r="284" spans="1:27" x14ac:dyDescent="0.55000000000000004">
      <c r="A284" t="s">
        <v>317</v>
      </c>
      <c r="C284">
        <v>169</v>
      </c>
      <c r="D284">
        <v>164</v>
      </c>
      <c r="E284">
        <v>188</v>
      </c>
      <c r="F284">
        <v>141</v>
      </c>
      <c r="G284">
        <v>145</v>
      </c>
      <c r="H284">
        <v>147</v>
      </c>
      <c r="I284">
        <v>161</v>
      </c>
      <c r="J284">
        <v>133</v>
      </c>
      <c r="K284">
        <v>135</v>
      </c>
    </row>
    <row r="285" spans="1:27" x14ac:dyDescent="0.55000000000000004">
      <c r="A285" t="s">
        <v>1099</v>
      </c>
      <c r="C285" s="115">
        <f t="shared" ref="C285:J285" si="59">C287-C283-C284-C286</f>
        <v>0</v>
      </c>
      <c r="D285" s="115">
        <f t="shared" si="59"/>
        <v>0</v>
      </c>
      <c r="E285" s="115">
        <f t="shared" si="59"/>
        <v>2</v>
      </c>
      <c r="F285" s="115">
        <f t="shared" si="59"/>
        <v>35</v>
      </c>
      <c r="G285" s="115">
        <f t="shared" si="59"/>
        <v>0</v>
      </c>
      <c r="H285" s="115">
        <f t="shared" si="59"/>
        <v>2</v>
      </c>
      <c r="I285" s="115">
        <f t="shared" si="59"/>
        <v>0</v>
      </c>
      <c r="J285" s="115">
        <f t="shared" si="59"/>
        <v>6</v>
      </c>
      <c r="K285" s="115">
        <f>K287-K283-K284-K286</f>
        <v>0</v>
      </c>
    </row>
    <row r="286" spans="1:27" x14ac:dyDescent="0.55000000000000004">
      <c r="A286" s="90" t="s">
        <v>319</v>
      </c>
      <c r="B286" s="90"/>
      <c r="C286" s="90">
        <v>157</v>
      </c>
      <c r="D286" s="90">
        <v>161</v>
      </c>
      <c r="E286" s="90">
        <v>158</v>
      </c>
      <c r="F286" s="90">
        <v>139</v>
      </c>
      <c r="G286" s="90">
        <v>128</v>
      </c>
      <c r="H286" s="90">
        <v>140</v>
      </c>
      <c r="I286" s="90">
        <v>133</v>
      </c>
      <c r="J286" s="90">
        <v>128</v>
      </c>
      <c r="K286" s="90">
        <v>123</v>
      </c>
      <c r="L286" s="90"/>
      <c r="M286" s="90"/>
      <c r="N286" s="90"/>
      <c r="O286" s="90"/>
    </row>
    <row r="287" spans="1:27" x14ac:dyDescent="0.55000000000000004">
      <c r="A287" t="s">
        <v>315</v>
      </c>
      <c r="B287" s="115">
        <f t="shared" ref="B287:J287" si="60">B277-B290</f>
        <v>410</v>
      </c>
      <c r="C287" s="115">
        <f t="shared" si="60"/>
        <v>461</v>
      </c>
      <c r="D287" s="115">
        <f t="shared" si="60"/>
        <v>470</v>
      </c>
      <c r="E287" s="115">
        <f t="shared" si="60"/>
        <v>505</v>
      </c>
      <c r="F287" s="115">
        <f t="shared" si="60"/>
        <v>477</v>
      </c>
      <c r="G287" s="115">
        <f t="shared" si="60"/>
        <v>425</v>
      </c>
      <c r="H287" s="115">
        <f t="shared" si="60"/>
        <v>422</v>
      </c>
      <c r="I287" s="115">
        <f t="shared" si="60"/>
        <v>414</v>
      </c>
      <c r="J287" s="115">
        <f t="shared" si="60"/>
        <v>392</v>
      </c>
      <c r="K287" s="115">
        <f>K277-K290</f>
        <v>382</v>
      </c>
    </row>
    <row r="288" spans="1:27" x14ac:dyDescent="0.55000000000000004">
      <c r="A288" t="s">
        <v>245</v>
      </c>
      <c r="B288" s="113">
        <f t="shared" ref="B288:J288" si="61">B287/B266</f>
        <v>1.1549295774647887</v>
      </c>
      <c r="C288" s="113">
        <f t="shared" si="61"/>
        <v>1.2664835164835164</v>
      </c>
      <c r="D288" s="113">
        <f t="shared" si="61"/>
        <v>1.298342541436464</v>
      </c>
      <c r="E288" s="113">
        <f t="shared" si="61"/>
        <v>1.2625</v>
      </c>
      <c r="F288" s="113">
        <f t="shared" si="61"/>
        <v>1.2519685039370079</v>
      </c>
      <c r="G288" s="113">
        <f t="shared" si="61"/>
        <v>0.9550561797752809</v>
      </c>
      <c r="H288" s="113">
        <f t="shared" si="61"/>
        <v>0.84909456740442657</v>
      </c>
      <c r="I288" s="113">
        <f t="shared" si="61"/>
        <v>0.70050761421319796</v>
      </c>
      <c r="J288" s="113">
        <f t="shared" si="61"/>
        <v>0.68055555555555558</v>
      </c>
      <c r="K288" s="113">
        <f>K287/K266</f>
        <v>0.5796661608497724</v>
      </c>
    </row>
    <row r="289" spans="1:15" x14ac:dyDescent="0.55000000000000004">
      <c r="B289" s="112"/>
      <c r="C289" s="112"/>
      <c r="D289" s="112"/>
      <c r="E289" s="112"/>
      <c r="F289" s="112"/>
      <c r="G289" s="112"/>
      <c r="H289" s="112"/>
    </row>
    <row r="290" spans="1:15" x14ac:dyDescent="0.55000000000000004">
      <c r="A290" t="s">
        <v>344</v>
      </c>
      <c r="B290" s="115">
        <v>-227</v>
      </c>
      <c r="C290" s="115">
        <v>-277</v>
      </c>
      <c r="D290" s="115">
        <v>-287</v>
      </c>
      <c r="E290" s="115">
        <v>-360</v>
      </c>
      <c r="F290" s="115">
        <v>-310</v>
      </c>
      <c r="G290" s="115">
        <v>-244</v>
      </c>
      <c r="H290" s="115">
        <v>-209</v>
      </c>
      <c r="I290" s="115">
        <v>-172</v>
      </c>
      <c r="J290" s="115">
        <v>-161</v>
      </c>
      <c r="K290" s="115">
        <v>-73</v>
      </c>
      <c r="L290" s="115"/>
      <c r="M290" s="115"/>
      <c r="N290" s="115"/>
      <c r="O290" s="115"/>
    </row>
    <row r="291" spans="1:15" x14ac:dyDescent="0.55000000000000004">
      <c r="B291" s="115"/>
      <c r="C291" s="115"/>
      <c r="D291" s="115"/>
      <c r="E291" s="115"/>
      <c r="F291" s="115"/>
      <c r="G291" s="115"/>
      <c r="H291" s="115"/>
      <c r="I291" s="115"/>
      <c r="J291" s="115"/>
      <c r="K291" s="113">
        <f>K290/K266</f>
        <v>-0.11077389984825493</v>
      </c>
      <c r="L291" s="115"/>
      <c r="M291" s="115"/>
      <c r="N291" s="115"/>
      <c r="O291" s="115"/>
    </row>
    <row r="292" spans="1:15" x14ac:dyDescent="0.55000000000000004">
      <c r="B292" s="112"/>
      <c r="C292" s="112"/>
      <c r="D292" s="112"/>
      <c r="E292" s="112"/>
      <c r="F292" s="112"/>
      <c r="G292" s="112"/>
      <c r="H292" s="112"/>
    </row>
    <row r="293" spans="1:15" x14ac:dyDescent="0.55000000000000004">
      <c r="A293" t="s">
        <v>320</v>
      </c>
      <c r="B293" s="115"/>
      <c r="C293" s="115">
        <v>17</v>
      </c>
      <c r="D293" s="115">
        <v>21</v>
      </c>
      <c r="E293" s="115">
        <v>23</v>
      </c>
      <c r="F293" s="115">
        <v>46</v>
      </c>
      <c r="G293" s="115">
        <v>43</v>
      </c>
      <c r="H293" s="115">
        <v>40</v>
      </c>
      <c r="I293" s="115">
        <v>40</v>
      </c>
      <c r="J293" s="115">
        <v>45</v>
      </c>
      <c r="K293" s="115">
        <v>44</v>
      </c>
    </row>
    <row r="294" spans="1:15" x14ac:dyDescent="0.55000000000000004">
      <c r="A294" t="s">
        <v>1104</v>
      </c>
      <c r="B294" s="115"/>
      <c r="C294" s="115">
        <v>111</v>
      </c>
      <c r="D294" s="115">
        <v>120</v>
      </c>
      <c r="E294" s="115">
        <v>122</v>
      </c>
      <c r="F294" s="115">
        <v>107</v>
      </c>
      <c r="G294" s="115">
        <v>103</v>
      </c>
      <c r="H294" s="115">
        <v>112</v>
      </c>
      <c r="I294" s="115">
        <v>90</v>
      </c>
      <c r="J294" s="115">
        <v>77</v>
      </c>
      <c r="K294" s="115">
        <v>65</v>
      </c>
    </row>
    <row r="295" spans="1:15" x14ac:dyDescent="0.55000000000000004">
      <c r="A295" t="s">
        <v>1105</v>
      </c>
      <c r="B295" s="115"/>
      <c r="C295" s="115">
        <v>120</v>
      </c>
      <c r="D295" s="115">
        <v>128</v>
      </c>
      <c r="E295" s="115">
        <v>148</v>
      </c>
      <c r="F295" s="115">
        <v>113</v>
      </c>
      <c r="G295" s="115">
        <v>110</v>
      </c>
      <c r="H295" s="115">
        <v>115</v>
      </c>
      <c r="I295" s="115">
        <v>134</v>
      </c>
      <c r="J295" s="115">
        <v>112</v>
      </c>
      <c r="K295" s="115">
        <v>114</v>
      </c>
    </row>
    <row r="296" spans="1:15" x14ac:dyDescent="0.55000000000000004">
      <c r="A296" t="s">
        <v>1099</v>
      </c>
      <c r="B296" s="115"/>
      <c r="C296" s="115">
        <v>0</v>
      </c>
      <c r="D296" s="115">
        <v>0</v>
      </c>
      <c r="E296" s="115">
        <v>5</v>
      </c>
      <c r="F296" s="115">
        <f>35+3</f>
        <v>38</v>
      </c>
      <c r="G296" s="115">
        <f>1+1</f>
        <v>2</v>
      </c>
      <c r="H296" s="115">
        <v>2</v>
      </c>
      <c r="I296" s="115">
        <v>0</v>
      </c>
      <c r="J296" s="115">
        <v>5</v>
      </c>
      <c r="K296" s="115">
        <v>0</v>
      </c>
      <c r="L296" s="115"/>
    </row>
    <row r="297" spans="1:15" x14ac:dyDescent="0.55000000000000004">
      <c r="B297" s="112"/>
      <c r="C297" s="112"/>
      <c r="D297" s="112"/>
      <c r="E297" s="112"/>
      <c r="F297" s="112"/>
      <c r="G297" s="112"/>
      <c r="H297" s="112"/>
    </row>
    <row r="298" spans="1:15" x14ac:dyDescent="0.55000000000000004">
      <c r="A298" t="s">
        <v>346</v>
      </c>
      <c r="B298" s="115"/>
      <c r="C298" s="115">
        <f t="shared" ref="C298:K298" si="62">C290+C293+C294+C295+C296</f>
        <v>-29</v>
      </c>
      <c r="D298" s="115">
        <f t="shared" si="62"/>
        <v>-18</v>
      </c>
      <c r="E298" s="115">
        <f t="shared" si="62"/>
        <v>-62</v>
      </c>
      <c r="F298" s="115">
        <f t="shared" si="62"/>
        <v>-6</v>
      </c>
      <c r="G298" s="115">
        <f t="shared" si="62"/>
        <v>14</v>
      </c>
      <c r="H298" s="115">
        <f t="shared" si="62"/>
        <v>60</v>
      </c>
      <c r="I298" s="115">
        <f t="shared" si="62"/>
        <v>92</v>
      </c>
      <c r="J298" s="115">
        <f t="shared" si="62"/>
        <v>78</v>
      </c>
      <c r="K298" s="115">
        <f t="shared" si="62"/>
        <v>150</v>
      </c>
    </row>
    <row r="299" spans="1:15" x14ac:dyDescent="0.55000000000000004">
      <c r="A299" s="90" t="s">
        <v>345</v>
      </c>
      <c r="B299" s="155"/>
      <c r="C299" s="155">
        <f t="shared" ref="C299:K299" si="63">C294</f>
        <v>111</v>
      </c>
      <c r="D299" s="155">
        <f t="shared" si="63"/>
        <v>120</v>
      </c>
      <c r="E299" s="155">
        <f t="shared" si="63"/>
        <v>122</v>
      </c>
      <c r="F299" s="155">
        <f t="shared" si="63"/>
        <v>107</v>
      </c>
      <c r="G299" s="155">
        <f t="shared" si="63"/>
        <v>103</v>
      </c>
      <c r="H299" s="155">
        <f t="shared" si="63"/>
        <v>112</v>
      </c>
      <c r="I299" s="155">
        <f t="shared" si="63"/>
        <v>90</v>
      </c>
      <c r="J299" s="155">
        <f t="shared" si="63"/>
        <v>77</v>
      </c>
      <c r="K299" s="155">
        <f t="shared" si="63"/>
        <v>65</v>
      </c>
      <c r="L299" s="90"/>
      <c r="M299" s="90"/>
      <c r="N299" s="90"/>
      <c r="O299" s="90"/>
    </row>
    <row r="300" spans="1:15" x14ac:dyDescent="0.55000000000000004">
      <c r="A300" s="108" t="s">
        <v>347</v>
      </c>
      <c r="B300" s="156"/>
      <c r="C300" s="156">
        <f t="shared" ref="C300:K300" si="64">C298-C299</f>
        <v>-140</v>
      </c>
      <c r="D300" s="156">
        <f t="shared" si="64"/>
        <v>-138</v>
      </c>
      <c r="E300" s="156">
        <f t="shared" si="64"/>
        <v>-184</v>
      </c>
      <c r="F300" s="156">
        <f t="shared" si="64"/>
        <v>-113</v>
      </c>
      <c r="G300" s="156">
        <f t="shared" si="64"/>
        <v>-89</v>
      </c>
      <c r="H300" s="156">
        <f t="shared" si="64"/>
        <v>-52</v>
      </c>
      <c r="I300" s="156">
        <f t="shared" si="64"/>
        <v>2</v>
      </c>
      <c r="J300" s="156">
        <f t="shared" si="64"/>
        <v>1</v>
      </c>
      <c r="K300" s="156">
        <f t="shared" si="64"/>
        <v>85</v>
      </c>
      <c r="L300" s="108"/>
      <c r="M300" s="108"/>
      <c r="N300" s="108"/>
      <c r="O300" s="108"/>
    </row>
    <row r="301" spans="1:15" x14ac:dyDescent="0.55000000000000004">
      <c r="A301" s="108" t="s">
        <v>171</v>
      </c>
      <c r="B301" s="109"/>
      <c r="C301" s="109">
        <f t="shared" ref="C301:K301" si="65">C300/C266</f>
        <v>-0.38461538461538464</v>
      </c>
      <c r="D301" s="109">
        <f t="shared" si="65"/>
        <v>-0.38121546961325969</v>
      </c>
      <c r="E301" s="109">
        <f t="shared" si="65"/>
        <v>-0.46</v>
      </c>
      <c r="F301" s="109">
        <f t="shared" si="65"/>
        <v>-0.29658792650918636</v>
      </c>
      <c r="G301" s="109">
        <f t="shared" si="65"/>
        <v>-0.2</v>
      </c>
      <c r="H301" s="109">
        <f t="shared" si="65"/>
        <v>-0.10462776659959759</v>
      </c>
      <c r="I301" s="109">
        <f t="shared" si="65"/>
        <v>3.3840947546531302E-3</v>
      </c>
      <c r="J301" s="109">
        <f t="shared" si="65"/>
        <v>1.736111111111111E-3</v>
      </c>
      <c r="K301" s="109">
        <f t="shared" si="65"/>
        <v>0.12898330804248861</v>
      </c>
      <c r="L301" s="108"/>
      <c r="M301" s="108"/>
      <c r="N301" s="108"/>
      <c r="O301" s="108"/>
    </row>
    <row r="302" spans="1:15" x14ac:dyDescent="0.55000000000000004">
      <c r="B302" s="112"/>
      <c r="C302" s="112"/>
      <c r="D302" s="112"/>
      <c r="E302" s="112"/>
      <c r="F302" s="112"/>
      <c r="G302" s="112"/>
      <c r="H302" s="112"/>
    </row>
    <row r="303" spans="1:15" x14ac:dyDescent="0.55000000000000004">
      <c r="A303" t="s">
        <v>351</v>
      </c>
      <c r="B303" s="112">
        <f>B299/B266</f>
        <v>0</v>
      </c>
      <c r="C303" s="112">
        <f t="shared" ref="C303:K303" si="66">C299/C266</f>
        <v>0.30494505494505497</v>
      </c>
      <c r="D303" s="112">
        <f t="shared" si="66"/>
        <v>0.33149171270718231</v>
      </c>
      <c r="E303" s="112">
        <f t="shared" si="66"/>
        <v>0.30499999999999999</v>
      </c>
      <c r="F303" s="112">
        <f t="shared" si="66"/>
        <v>0.28083989501312334</v>
      </c>
      <c r="G303" s="112">
        <f t="shared" si="66"/>
        <v>0.23146067415730337</v>
      </c>
      <c r="H303" s="112">
        <f t="shared" si="66"/>
        <v>0.22535211267605634</v>
      </c>
      <c r="I303" s="112">
        <f t="shared" si="66"/>
        <v>0.15228426395939088</v>
      </c>
      <c r="J303" s="112">
        <f t="shared" si="66"/>
        <v>0.13368055555555555</v>
      </c>
      <c r="K303" s="112">
        <f t="shared" si="66"/>
        <v>9.8634294385432475E-2</v>
      </c>
    </row>
    <row r="304" spans="1:15" x14ac:dyDescent="0.55000000000000004">
      <c r="B304" s="112"/>
      <c r="C304" s="112"/>
      <c r="D304" s="112"/>
      <c r="E304" s="112"/>
      <c r="F304" s="112"/>
      <c r="G304" s="112"/>
      <c r="H304" s="112"/>
    </row>
    <row r="305" spans="1:10" x14ac:dyDescent="0.55000000000000004">
      <c r="A305" t="s">
        <v>541</v>
      </c>
      <c r="B305" s="112"/>
      <c r="C305" s="112"/>
      <c r="D305" s="112"/>
      <c r="E305" s="112"/>
      <c r="F305" s="112"/>
      <c r="G305" s="112"/>
      <c r="H305" s="112"/>
    </row>
    <row r="306" spans="1:10" x14ac:dyDescent="0.55000000000000004">
      <c r="A306" t="s">
        <v>543</v>
      </c>
      <c r="B306" s="112"/>
      <c r="C306" s="112"/>
      <c r="D306" s="112"/>
      <c r="E306" s="112"/>
      <c r="F306" s="115">
        <v>4403</v>
      </c>
      <c r="J306" s="115">
        <v>5461.4070000000002</v>
      </c>
    </row>
    <row r="307" spans="1:10" x14ac:dyDescent="0.55000000000000004">
      <c r="A307" t="s">
        <v>555</v>
      </c>
      <c r="B307" s="112"/>
      <c r="C307" s="112"/>
      <c r="D307" s="112"/>
      <c r="E307" s="112"/>
      <c r="F307" s="113">
        <f>F264*4/F306</f>
        <v>0.16170792641380877</v>
      </c>
      <c r="J307" s="113">
        <f>J264*4/J306</f>
        <v>0.23144219062963078</v>
      </c>
    </row>
    <row r="308" spans="1:10" x14ac:dyDescent="0.55000000000000004">
      <c r="A308" t="s">
        <v>542</v>
      </c>
      <c r="B308" s="112"/>
      <c r="C308" s="112"/>
      <c r="D308" s="112"/>
      <c r="E308" s="112"/>
      <c r="F308">
        <v>176.3</v>
      </c>
      <c r="G308" s="112"/>
      <c r="H308" s="112"/>
      <c r="J308">
        <v>289.10000000000002</v>
      </c>
    </row>
    <row r="309" spans="1:10" x14ac:dyDescent="0.55000000000000004">
      <c r="A309" t="s">
        <v>544</v>
      </c>
      <c r="B309" s="112"/>
      <c r="C309" s="112"/>
      <c r="D309" s="112"/>
      <c r="E309" s="112"/>
      <c r="F309" s="112">
        <f>F308/F306</f>
        <v>4.0040881217351811E-2</v>
      </c>
      <c r="G309" s="112"/>
      <c r="H309" s="112"/>
      <c r="J309" s="112">
        <f>J308/J306</f>
        <v>5.2935076986571412E-2</v>
      </c>
    </row>
    <row r="310" spans="1:10" x14ac:dyDescent="0.55000000000000004">
      <c r="B310" s="112"/>
      <c r="C310" s="112"/>
      <c r="D310" s="112"/>
      <c r="E310" s="112"/>
      <c r="G310" s="112"/>
      <c r="H310" s="112"/>
    </row>
    <row r="311" spans="1:10" x14ac:dyDescent="0.55000000000000004">
      <c r="B311" s="112"/>
      <c r="C311" s="112"/>
      <c r="D311" s="112"/>
      <c r="E311" s="112"/>
      <c r="F311" s="112"/>
      <c r="G311" s="112"/>
      <c r="H311" s="112"/>
    </row>
    <row r="312" spans="1:10" x14ac:dyDescent="0.55000000000000004">
      <c r="A312" t="s">
        <v>167</v>
      </c>
      <c r="B312" s="289">
        <v>44</v>
      </c>
      <c r="C312" s="112"/>
      <c r="D312" s="112"/>
      <c r="E312" s="112"/>
      <c r="F312" s="112"/>
      <c r="G312" s="112"/>
      <c r="H312" s="112"/>
    </row>
    <row r="313" spans="1:10" x14ac:dyDescent="0.55000000000000004">
      <c r="A313" t="s">
        <v>334</v>
      </c>
      <c r="B313" s="107">
        <v>309</v>
      </c>
    </row>
    <row r="314" spans="1:10" x14ac:dyDescent="0.55000000000000004">
      <c r="A314" t="s">
        <v>335</v>
      </c>
      <c r="B314" s="114">
        <f>B312*B313</f>
        <v>13596</v>
      </c>
    </row>
    <row r="316" spans="1:10" x14ac:dyDescent="0.55000000000000004">
      <c r="B316">
        <v>2023</v>
      </c>
      <c r="C316" s="89" t="s">
        <v>284</v>
      </c>
    </row>
    <row r="317" spans="1:10" x14ac:dyDescent="0.55000000000000004">
      <c r="A317" t="s">
        <v>336</v>
      </c>
      <c r="B317" s="115">
        <f>$B$314/Q277</f>
        <v>13.664321608040201</v>
      </c>
      <c r="C317" s="115">
        <f>$B$314/R277</f>
        <v>10.346128423003206</v>
      </c>
    </row>
    <row r="319" spans="1:10" x14ac:dyDescent="0.55000000000000004">
      <c r="A319" s="110" t="s">
        <v>1134</v>
      </c>
      <c r="B319" s="111" t="s">
        <v>326</v>
      </c>
      <c r="C319" s="111" t="s">
        <v>263</v>
      </c>
      <c r="D319" s="111" t="s">
        <v>470</v>
      </c>
      <c r="E319" s="111" t="s">
        <v>470</v>
      </c>
    </row>
    <row r="320" spans="1:10" x14ac:dyDescent="0.55000000000000004">
      <c r="A320" t="s">
        <v>173</v>
      </c>
      <c r="B320" s="113">
        <f>BNPL!Z234</f>
        <v>0.30909090909090908</v>
      </c>
      <c r="C320" s="113">
        <f>BNPL!AE159</f>
        <v>0.14018275786704493</v>
      </c>
      <c r="D320" s="113">
        <f>BNPL!K74</f>
        <v>0.2109375</v>
      </c>
    </row>
    <row r="321" spans="1:4" x14ac:dyDescent="0.55000000000000004">
      <c r="A321" t="s">
        <v>90</v>
      </c>
      <c r="B321" s="113">
        <f>BNPL!Y266</f>
        <v>0.51181102362204722</v>
      </c>
      <c r="C321" s="113">
        <f>BNPL!AD167</f>
        <v>0.2919822233442011</v>
      </c>
      <c r="D321" s="113">
        <f>BNPL!J76</f>
        <v>0.25</v>
      </c>
    </row>
    <row r="322" spans="1:4" x14ac:dyDescent="0.55000000000000004">
      <c r="A322" t="s">
        <v>559</v>
      </c>
      <c r="B322" s="113">
        <f>BNPL!Y277</f>
        <v>0.38323353293413165</v>
      </c>
      <c r="C322" s="113">
        <f>BNPL!AD185</f>
        <v>0.22358280026185917</v>
      </c>
      <c r="D322" s="113">
        <f>BNPL!J85/BNPL!F85-1</f>
        <v>0.2622475217376532</v>
      </c>
    </row>
    <row r="324" spans="1:4" x14ac:dyDescent="0.55000000000000004">
      <c r="A324" t="s">
        <v>556</v>
      </c>
      <c r="B324" s="113">
        <f>BNPL!J263/BNPL!J$266</f>
        <v>0.33854166666666669</v>
      </c>
      <c r="C324" s="113">
        <f>BNPL!C165/BNPL!C167</f>
        <v>0.84232471068754255</v>
      </c>
    </row>
    <row r="325" spans="1:4" x14ac:dyDescent="0.55000000000000004">
      <c r="A325" t="s">
        <v>557</v>
      </c>
      <c r="B325" s="113">
        <f>BNPL!J264/BNPL!J$266</f>
        <v>0.54861111111111116</v>
      </c>
      <c r="C325" s="113">
        <f>100%-C324</f>
        <v>0.15767528931245745</v>
      </c>
    </row>
    <row r="326" spans="1:4" x14ac:dyDescent="0.55000000000000004">
      <c r="A326" t="s">
        <v>321</v>
      </c>
      <c r="B326" s="113">
        <f>100%-B324-B325</f>
        <v>0.1128472222222221</v>
      </c>
    </row>
    <row r="328" spans="1:4" x14ac:dyDescent="0.55000000000000004">
      <c r="A328" t="s">
        <v>558</v>
      </c>
      <c r="B328" s="113">
        <f>BNPL!J274</f>
        <v>0.21180555555555555</v>
      </c>
      <c r="C328" s="113">
        <f>BNPL!J181</f>
        <v>0.18714644877435574</v>
      </c>
      <c r="D328" s="113">
        <f>BNPL!J84</f>
        <v>0.19968173934810179</v>
      </c>
    </row>
    <row r="329" spans="1:4" x14ac:dyDescent="0.55000000000000004">
      <c r="C329" s="113"/>
    </row>
    <row r="330" spans="1:4" x14ac:dyDescent="0.55000000000000004">
      <c r="A330" t="s">
        <v>477</v>
      </c>
      <c r="B330" s="112">
        <f>BNPL!J279</f>
        <v>0.40104166666666669</v>
      </c>
      <c r="C330" s="112">
        <f>BNPL!J186</f>
        <v>0.46558768070395978</v>
      </c>
      <c r="D330" s="112">
        <f>BNPL!J87</f>
        <v>0.53365159398523143</v>
      </c>
    </row>
    <row r="332" spans="1:4" x14ac:dyDescent="0.55000000000000004">
      <c r="A332" t="s">
        <v>560</v>
      </c>
    </row>
    <row r="334" spans="1:4" x14ac:dyDescent="0.55000000000000004">
      <c r="A334" t="s">
        <v>166</v>
      </c>
      <c r="B334" s="114">
        <f>B314</f>
        <v>13596</v>
      </c>
      <c r="C334" s="114">
        <f>B215</f>
        <v>20000</v>
      </c>
      <c r="D334" s="114">
        <f>D335*E55</f>
        <v>6111.1049999999996</v>
      </c>
    </row>
    <row r="335" spans="1:4" x14ac:dyDescent="0.55000000000000004">
      <c r="A335" t="s">
        <v>287</v>
      </c>
      <c r="B335" s="115">
        <f>C317</f>
        <v>10.346128423003206</v>
      </c>
      <c r="C335" s="154">
        <f>B218</f>
        <v>14.867728963542922</v>
      </c>
      <c r="D335">
        <v>10</v>
      </c>
    </row>
    <row r="337" spans="1:11" x14ac:dyDescent="0.55000000000000004">
      <c r="A337" s="108" t="s">
        <v>173</v>
      </c>
      <c r="B337">
        <v>2023</v>
      </c>
      <c r="D337" s="89" t="s">
        <v>136</v>
      </c>
      <c r="E337" s="89" t="s">
        <v>140</v>
      </c>
      <c r="F337" s="89" t="s">
        <v>144</v>
      </c>
    </row>
    <row r="338" spans="1:11" x14ac:dyDescent="0.55000000000000004">
      <c r="A338" t="s">
        <v>263</v>
      </c>
      <c r="B338" s="114">
        <f>V159/1000</f>
        <v>92.449764373232796</v>
      </c>
      <c r="C338" s="113">
        <f>B338/B$345</f>
        <v>0.49806886090466918</v>
      </c>
      <c r="E338" s="114">
        <f>W159/1000</f>
        <v>20.178680223987527</v>
      </c>
      <c r="F338" s="114">
        <f>Y159/1000</f>
        <v>23.784092658605619</v>
      </c>
    </row>
    <row r="339" spans="1:11" x14ac:dyDescent="0.55000000000000004">
      <c r="A339" t="s">
        <v>165</v>
      </c>
      <c r="B339" s="107">
        <f>D42</f>
        <v>27.3</v>
      </c>
      <c r="C339" s="113">
        <f t="shared" ref="C339:C344" si="67">B339/B$345</f>
        <v>0.14707749657212021</v>
      </c>
      <c r="E339" s="115">
        <f>F73</f>
        <v>5.6</v>
      </c>
      <c r="F339" s="115">
        <f>J73</f>
        <v>6.98</v>
      </c>
      <c r="G339" t="s">
        <v>741</v>
      </c>
      <c r="H339">
        <v>6</v>
      </c>
      <c r="I339">
        <v>5</v>
      </c>
      <c r="J339">
        <v>6.5</v>
      </c>
      <c r="K339">
        <v>6.5</v>
      </c>
    </row>
    <row r="340" spans="1:11" x14ac:dyDescent="0.55000000000000004">
      <c r="A340" t="s">
        <v>742</v>
      </c>
      <c r="B340" s="114">
        <f>SUM(H339:K339)</f>
        <v>24</v>
      </c>
      <c r="C340" s="113">
        <f t="shared" si="67"/>
        <v>0.12929889808538042</v>
      </c>
      <c r="D340" s="115">
        <f>E340/1.7</f>
        <v>3.5294117647058822</v>
      </c>
      <c r="E340" s="154">
        <v>6</v>
      </c>
      <c r="F340" s="154">
        <v>7</v>
      </c>
    </row>
    <row r="341" spans="1:11" x14ac:dyDescent="0.55000000000000004">
      <c r="A341" t="s">
        <v>326</v>
      </c>
      <c r="B341" s="107">
        <f>Q234</f>
        <v>23.4</v>
      </c>
      <c r="C341" s="113">
        <f t="shared" si="67"/>
        <v>0.12606642563324588</v>
      </c>
      <c r="E341" s="115">
        <f>F234</f>
        <v>4.7</v>
      </c>
      <c r="F341" s="115">
        <f>J234</f>
        <v>6.3</v>
      </c>
    </row>
    <row r="342" spans="1:11" x14ac:dyDescent="0.55000000000000004">
      <c r="A342" t="s">
        <v>739</v>
      </c>
      <c r="B342" s="107">
        <f>5*2/1.5</f>
        <v>6.666666666666667</v>
      </c>
      <c r="C342" s="113">
        <f t="shared" si="67"/>
        <v>3.591636057927234E-2</v>
      </c>
      <c r="E342" s="114">
        <f>SUM(E338:E341)</f>
        <v>36.478680223987531</v>
      </c>
      <c r="F342" s="114">
        <f>SUM(F338:F341)</f>
        <v>44.064092658605617</v>
      </c>
      <c r="G342" s="113">
        <f>F342/E342-1</f>
        <v>0.20794097779968745</v>
      </c>
    </row>
    <row r="343" spans="1:11" x14ac:dyDescent="0.55000000000000004">
      <c r="A343" t="s">
        <v>738</v>
      </c>
      <c r="B343" s="107">
        <v>1.8</v>
      </c>
      <c r="C343" s="113">
        <f t="shared" si="67"/>
        <v>9.6974173564035315E-3</v>
      </c>
    </row>
    <row r="344" spans="1:11" x14ac:dyDescent="0.55000000000000004">
      <c r="A344" s="90" t="s">
        <v>321</v>
      </c>
      <c r="B344" s="165">
        <v>10</v>
      </c>
      <c r="C344" s="118">
        <f t="shared" si="67"/>
        <v>5.3874540868908506E-2</v>
      </c>
    </row>
    <row r="345" spans="1:11" x14ac:dyDescent="0.55000000000000004">
      <c r="A345" t="s">
        <v>277</v>
      </c>
      <c r="B345" s="107">
        <f>SUM(B338:B344)</f>
        <v>185.61643103989945</v>
      </c>
    </row>
    <row r="346" spans="1:11" x14ac:dyDescent="0.55000000000000004">
      <c r="B346" s="107"/>
    </row>
    <row r="347" spans="1:11" x14ac:dyDescent="0.55000000000000004">
      <c r="B347" s="107"/>
    </row>
    <row r="349" spans="1:11" x14ac:dyDescent="0.55000000000000004">
      <c r="A349" t="str">
        <f>B319</f>
        <v>Affirm</v>
      </c>
      <c r="B349" s="113">
        <f>B320</f>
        <v>0.30909090909090908</v>
      </c>
    </row>
    <row r="350" spans="1:11" x14ac:dyDescent="0.55000000000000004">
      <c r="A350" s="113" t="str">
        <f>D319</f>
        <v>AfterPay</v>
      </c>
      <c r="B350" s="113">
        <f>D320</f>
        <v>0.2109375</v>
      </c>
    </row>
    <row r="351" spans="1:11" x14ac:dyDescent="0.55000000000000004">
      <c r="A351" t="str">
        <f>C319</f>
        <v>Klarna</v>
      </c>
      <c r="B351" s="113">
        <f>C320</f>
        <v>0.14018275786704493</v>
      </c>
    </row>
    <row r="352" spans="1:11" x14ac:dyDescent="0.55000000000000004">
      <c r="A352" t="s">
        <v>743</v>
      </c>
      <c r="B352" s="113">
        <f>F340/E340-1</f>
        <v>0.16666666666666674</v>
      </c>
    </row>
    <row r="353" spans="1:6" x14ac:dyDescent="0.55000000000000004">
      <c r="A353" t="s">
        <v>740</v>
      </c>
      <c r="B353" s="113">
        <f>G342</f>
        <v>0.20794097779968745</v>
      </c>
    </row>
    <row r="355" spans="1:6" x14ac:dyDescent="0.55000000000000004">
      <c r="A355" t="s">
        <v>841</v>
      </c>
    </row>
    <row r="356" spans="1:6" x14ac:dyDescent="0.55000000000000004">
      <c r="A356" t="s">
        <v>263</v>
      </c>
      <c r="B356" s="154">
        <f>S198</f>
        <v>8.1149858623939686</v>
      </c>
      <c r="C356" s="113">
        <f>B356/B$361</f>
        <v>0.2704995287464656</v>
      </c>
      <c r="D356" t="s">
        <v>842</v>
      </c>
    </row>
    <row r="357" spans="1:6" x14ac:dyDescent="0.55000000000000004">
      <c r="A357" t="s">
        <v>326</v>
      </c>
      <c r="B357" s="154">
        <f>J306/1000</f>
        <v>5.4614070000000003</v>
      </c>
      <c r="C357" s="113">
        <f>B357/B$361</f>
        <v>0.18204690000000001</v>
      </c>
    </row>
    <row r="358" spans="1:6" x14ac:dyDescent="0.55000000000000004">
      <c r="A358" t="s">
        <v>165</v>
      </c>
      <c r="B358" s="115">
        <f>J73/2*E358</f>
        <v>5.2350000000000003</v>
      </c>
      <c r="C358" s="113">
        <f>B358/B$361</f>
        <v>0.17450000000000002</v>
      </c>
      <c r="E358">
        <v>1.5</v>
      </c>
      <c r="F358" s="238">
        <v>44348</v>
      </c>
    </row>
    <row r="359" spans="1:6" x14ac:dyDescent="0.55000000000000004">
      <c r="A359" t="s">
        <v>843</v>
      </c>
      <c r="B359" s="115">
        <f>B340/B339*B358</f>
        <v>4.6021978021978027</v>
      </c>
      <c r="C359" s="113">
        <f>B359/B$361</f>
        <v>0.15340659340659343</v>
      </c>
    </row>
    <row r="360" spans="1:6" x14ac:dyDescent="0.55000000000000004">
      <c r="A360" s="90" t="s">
        <v>844</v>
      </c>
      <c r="B360" s="239">
        <f>B361-B356-B357-B358-B359</f>
        <v>6.586409335408228</v>
      </c>
      <c r="C360" s="113">
        <f>B360/B$361</f>
        <v>0.21954697784694094</v>
      </c>
    </row>
    <row r="361" spans="1:6" x14ac:dyDescent="0.55000000000000004">
      <c r="A361" t="s">
        <v>845</v>
      </c>
      <c r="B361" s="115">
        <v>30</v>
      </c>
    </row>
    <row r="363" spans="1:6" x14ac:dyDescent="0.55000000000000004">
      <c r="B363">
        <v>2023</v>
      </c>
      <c r="C363" t="s">
        <v>847</v>
      </c>
      <c r="D363" t="s">
        <v>846</v>
      </c>
    </row>
    <row r="364" spans="1:6" x14ac:dyDescent="0.55000000000000004">
      <c r="B364" s="115">
        <f>B361</f>
        <v>30</v>
      </c>
      <c r="C364" s="115">
        <v>37</v>
      </c>
      <c r="D364" s="115">
        <v>168</v>
      </c>
      <c r="E364" s="113">
        <f>(D364/B364)^(1/9)-1</f>
        <v>0.21096614852932105</v>
      </c>
    </row>
    <row r="382" spans="1:1" x14ac:dyDescent="0.55000000000000004">
      <c r="A382" s="152" t="s">
        <v>369</v>
      </c>
    </row>
    <row r="384" spans="1:1" x14ac:dyDescent="0.55000000000000004">
      <c r="A384" t="s">
        <v>370</v>
      </c>
    </row>
    <row r="386" spans="1:3" x14ac:dyDescent="0.55000000000000004">
      <c r="A386" t="s">
        <v>372</v>
      </c>
    </row>
    <row r="387" spans="1:3" x14ac:dyDescent="0.55000000000000004">
      <c r="B387" t="s">
        <v>373</v>
      </c>
    </row>
    <row r="388" spans="1:3" x14ac:dyDescent="0.55000000000000004">
      <c r="B388" t="s">
        <v>374</v>
      </c>
    </row>
    <row r="389" spans="1:3" x14ac:dyDescent="0.55000000000000004">
      <c r="C389" t="s">
        <v>375</v>
      </c>
    </row>
    <row r="390" spans="1:3" x14ac:dyDescent="0.55000000000000004">
      <c r="B390" t="s">
        <v>376</v>
      </c>
    </row>
    <row r="391" spans="1:3" x14ac:dyDescent="0.55000000000000004">
      <c r="C391" t="s">
        <v>377</v>
      </c>
    </row>
    <row r="392" spans="1:3" x14ac:dyDescent="0.55000000000000004">
      <c r="B392" t="s">
        <v>378</v>
      </c>
    </row>
    <row r="393" spans="1:3" x14ac:dyDescent="0.55000000000000004">
      <c r="A393" t="s">
        <v>379</v>
      </c>
    </row>
    <row r="394" spans="1:3" x14ac:dyDescent="0.55000000000000004">
      <c r="B394" t="s">
        <v>380</v>
      </c>
    </row>
    <row r="395" spans="1:3" x14ac:dyDescent="0.55000000000000004">
      <c r="B395" t="s">
        <v>381</v>
      </c>
    </row>
    <row r="396" spans="1:3" x14ac:dyDescent="0.55000000000000004">
      <c r="C396" t="s">
        <v>382</v>
      </c>
    </row>
    <row r="397" spans="1:3" x14ac:dyDescent="0.55000000000000004">
      <c r="B397" t="s">
        <v>383</v>
      </c>
    </row>
    <row r="398" spans="1:3" x14ac:dyDescent="0.55000000000000004">
      <c r="A398" t="s">
        <v>384</v>
      </c>
      <c r="B398" t="s">
        <v>371</v>
      </c>
    </row>
    <row r="399" spans="1:3" x14ac:dyDescent="0.55000000000000004">
      <c r="B399" t="s">
        <v>385</v>
      </c>
    </row>
    <row r="400" spans="1:3" x14ac:dyDescent="0.55000000000000004">
      <c r="B400" t="s">
        <v>386</v>
      </c>
    </row>
    <row r="401" spans="1:3" x14ac:dyDescent="0.55000000000000004">
      <c r="C401" t="s">
        <v>387</v>
      </c>
    </row>
    <row r="402" spans="1:3" x14ac:dyDescent="0.55000000000000004">
      <c r="A402" t="s">
        <v>388</v>
      </c>
    </row>
    <row r="403" spans="1:3" x14ac:dyDescent="0.55000000000000004">
      <c r="B403" t="s">
        <v>396</v>
      </c>
    </row>
    <row r="404" spans="1:3" x14ac:dyDescent="0.55000000000000004">
      <c r="C404" t="s">
        <v>397</v>
      </c>
    </row>
    <row r="405" spans="1:3" x14ac:dyDescent="0.55000000000000004">
      <c r="C405" t="s">
        <v>398</v>
      </c>
    </row>
    <row r="406" spans="1:3" x14ac:dyDescent="0.55000000000000004">
      <c r="B406" t="s">
        <v>389</v>
      </c>
    </row>
    <row r="407" spans="1:3" x14ac:dyDescent="0.55000000000000004">
      <c r="A407" t="s">
        <v>399</v>
      </c>
    </row>
    <row r="408" spans="1:3" x14ac:dyDescent="0.55000000000000004">
      <c r="B408" t="s">
        <v>400</v>
      </c>
    </row>
    <row r="409" spans="1:3" x14ac:dyDescent="0.55000000000000004">
      <c r="B409" t="s">
        <v>401</v>
      </c>
    </row>
    <row r="410" spans="1:3" x14ac:dyDescent="0.55000000000000004">
      <c r="B410" t="s">
        <v>402</v>
      </c>
    </row>
    <row r="411" spans="1:3" x14ac:dyDescent="0.55000000000000004">
      <c r="B411" t="s">
        <v>403</v>
      </c>
    </row>
    <row r="412" spans="1:3" x14ac:dyDescent="0.55000000000000004">
      <c r="A412" t="s">
        <v>404</v>
      </c>
    </row>
    <row r="413" spans="1:3" x14ac:dyDescent="0.55000000000000004">
      <c r="B413" t="s">
        <v>405</v>
      </c>
    </row>
    <row r="414" spans="1:3" x14ac:dyDescent="0.55000000000000004">
      <c r="B414" t="s">
        <v>406</v>
      </c>
    </row>
    <row r="415" spans="1:3" x14ac:dyDescent="0.55000000000000004">
      <c r="A415" t="s">
        <v>407</v>
      </c>
    </row>
    <row r="416" spans="1:3" x14ac:dyDescent="0.55000000000000004">
      <c r="B416" t="s">
        <v>409</v>
      </c>
    </row>
    <row r="417" spans="1:4" x14ac:dyDescent="0.55000000000000004">
      <c r="B417" t="s">
        <v>408</v>
      </c>
    </row>
    <row r="418" spans="1:4" x14ac:dyDescent="0.55000000000000004">
      <c r="C418" t="s">
        <v>410</v>
      </c>
    </row>
    <row r="419" spans="1:4" x14ac:dyDescent="0.55000000000000004">
      <c r="A419" t="s">
        <v>411</v>
      </c>
    </row>
    <row r="421" spans="1:4" x14ac:dyDescent="0.55000000000000004">
      <c r="A421" t="s">
        <v>412</v>
      </c>
    </row>
    <row r="422" spans="1:4" x14ac:dyDescent="0.55000000000000004">
      <c r="B422" t="s">
        <v>413</v>
      </c>
    </row>
    <row r="423" spans="1:4" x14ac:dyDescent="0.55000000000000004">
      <c r="B423" t="s">
        <v>414</v>
      </c>
    </row>
    <row r="424" spans="1:4" x14ac:dyDescent="0.55000000000000004">
      <c r="C424" t="s">
        <v>415</v>
      </c>
    </row>
    <row r="427" spans="1:4" x14ac:dyDescent="0.55000000000000004">
      <c r="A427" t="s">
        <v>253</v>
      </c>
      <c r="B427" s="89" t="s">
        <v>140</v>
      </c>
      <c r="C427" s="89" t="s">
        <v>144</v>
      </c>
    </row>
    <row r="428" spans="1:4" x14ac:dyDescent="0.55000000000000004">
      <c r="A428" t="s">
        <v>263</v>
      </c>
      <c r="B428" s="141">
        <f>D168</f>
        <v>2.3488818012681777E-2</v>
      </c>
      <c r="C428" s="141">
        <f>J168</f>
        <v>2.5746836262420299E-2</v>
      </c>
    </row>
    <row r="430" spans="1:4" x14ac:dyDescent="0.55000000000000004">
      <c r="A430" t="s">
        <v>326</v>
      </c>
    </row>
    <row r="432" spans="1:4" x14ac:dyDescent="0.55000000000000004">
      <c r="A432" t="str">
        <f>A251</f>
        <v>Core 0% short</v>
      </c>
      <c r="C432" s="112">
        <f>K251</f>
        <v>0.06</v>
      </c>
      <c r="D432" s="112"/>
    </row>
    <row r="433" spans="1:11" x14ac:dyDescent="0.55000000000000004">
      <c r="A433" t="str">
        <f>A252</f>
        <v>Core 0% long</v>
      </c>
      <c r="C433" s="112">
        <f>K252</f>
        <v>0.12</v>
      </c>
      <c r="D433" s="112"/>
    </row>
    <row r="434" spans="1:11" x14ac:dyDescent="0.55000000000000004">
      <c r="A434" t="str">
        <f>A253</f>
        <v>Pay in 4</v>
      </c>
      <c r="C434" s="112">
        <f>K253</f>
        <v>5.2499999999999998E-2</v>
      </c>
      <c r="D434" s="112"/>
    </row>
    <row r="435" spans="1:11" x14ac:dyDescent="0.55000000000000004">
      <c r="A435" t="s">
        <v>327</v>
      </c>
      <c r="C435" s="112">
        <f>K254</f>
        <v>2.5000000000000001E-2</v>
      </c>
      <c r="D435" s="112"/>
    </row>
    <row r="436" spans="1:11" x14ac:dyDescent="0.55000000000000004">
      <c r="A436" t="s">
        <v>858</v>
      </c>
      <c r="C436" s="112">
        <f>K263/(K234*1000)</f>
        <v>3.111111111111111E-2</v>
      </c>
      <c r="D436" s="112"/>
    </row>
    <row r="437" spans="1:11" x14ac:dyDescent="0.55000000000000004">
      <c r="A437" t="s">
        <v>310</v>
      </c>
      <c r="C437" s="112">
        <f>BNPL!K264/(BNPL!K234*1000)</f>
        <v>4.688888888888889E-2</v>
      </c>
      <c r="D437" s="112"/>
    </row>
    <row r="438" spans="1:11" x14ac:dyDescent="0.55000000000000004">
      <c r="A438" t="s">
        <v>857</v>
      </c>
      <c r="C438" s="112">
        <f>K267</f>
        <v>7.8E-2</v>
      </c>
      <c r="D438" s="112"/>
    </row>
    <row r="440" spans="1:11" x14ac:dyDescent="0.55000000000000004">
      <c r="A440" t="s">
        <v>326</v>
      </c>
    </row>
    <row r="441" spans="1:11" x14ac:dyDescent="0.55000000000000004">
      <c r="A441" s="110"/>
      <c r="B441" s="147" t="str">
        <f>B230</f>
        <v>Q1 22</v>
      </c>
      <c r="C441" s="147" t="str">
        <f t="shared" ref="C441:K441" si="68">C230</f>
        <v>Q2 22</v>
      </c>
      <c r="D441" s="147" t="str">
        <f t="shared" si="68"/>
        <v>Q3 22</v>
      </c>
      <c r="E441" s="147" t="str">
        <f t="shared" si="68"/>
        <v>Q4 22</v>
      </c>
      <c r="F441" s="147" t="str">
        <f t="shared" si="68"/>
        <v>Q1 23</v>
      </c>
      <c r="G441" s="147" t="str">
        <f t="shared" si="68"/>
        <v>Q2 23</v>
      </c>
      <c r="H441" s="147" t="str">
        <f t="shared" si="68"/>
        <v>Q3 23</v>
      </c>
      <c r="I441" s="147" t="str">
        <f t="shared" si="68"/>
        <v>Q4 23</v>
      </c>
      <c r="J441" s="147" t="str">
        <f t="shared" si="68"/>
        <v>Q1 24</v>
      </c>
      <c r="K441" s="147" t="str">
        <f t="shared" si="68"/>
        <v>Q2 24</v>
      </c>
    </row>
    <row r="442" spans="1:11" x14ac:dyDescent="0.55000000000000004">
      <c r="A442" t="s">
        <v>859</v>
      </c>
      <c r="B442" s="112">
        <f>B263/(B$234*1000)</f>
        <v>3.5999999999999997E-2</v>
      </c>
      <c r="C442" s="112">
        <f t="shared" ref="C442:J442" si="69">C263/(C$234*1000)</f>
        <v>3.3333333333333333E-2</v>
      </c>
      <c r="D442" s="112">
        <f t="shared" si="69"/>
        <v>3.1818181818181822E-2</v>
      </c>
      <c r="E442" s="112">
        <f t="shared" si="69"/>
        <v>2.9107142857142856E-2</v>
      </c>
      <c r="F442" s="112">
        <f t="shared" si="69"/>
        <v>3.1489361702127662E-2</v>
      </c>
      <c r="G442" s="112">
        <f t="shared" si="69"/>
        <v>3.1818181818181815E-2</v>
      </c>
      <c r="H442" s="112">
        <f t="shared" si="69"/>
        <v>3.1403508771929822E-2</v>
      </c>
      <c r="I442" s="112">
        <f t="shared" si="69"/>
        <v>3.04E-2</v>
      </c>
      <c r="J442" s="112">
        <f t="shared" si="69"/>
        <v>3.0952380952380953E-2</v>
      </c>
      <c r="K442" s="112">
        <f>K263/(K$234*1000)</f>
        <v>3.111111111111111E-2</v>
      </c>
    </row>
    <row r="443" spans="1:11" x14ac:dyDescent="0.55000000000000004">
      <c r="A443" t="s">
        <v>310</v>
      </c>
      <c r="B443" s="112">
        <f>B264/(B$234*1000)</f>
        <v>3.3750000000000002E-2</v>
      </c>
      <c r="C443" s="112">
        <f t="shared" ref="C443:J443" si="70">C264/(C$234*1000)</f>
        <v>3.0666666666666665E-2</v>
      </c>
      <c r="D443" s="112">
        <f t="shared" si="70"/>
        <v>3.1136363636363643E-2</v>
      </c>
      <c r="E443" s="112">
        <f t="shared" si="70"/>
        <v>2.7678571428571427E-2</v>
      </c>
      <c r="F443" s="112">
        <f t="shared" si="70"/>
        <v>3.7872340425531913E-2</v>
      </c>
      <c r="G443" s="112">
        <f t="shared" si="70"/>
        <v>3.9090909090909093E-2</v>
      </c>
      <c r="H443" s="112">
        <f t="shared" si="70"/>
        <v>4.6140350877192982E-2</v>
      </c>
      <c r="I443" s="112">
        <f t="shared" si="70"/>
        <v>3.8399999999999997E-2</v>
      </c>
      <c r="J443" s="112">
        <f t="shared" si="70"/>
        <v>5.015873015873016E-2</v>
      </c>
      <c r="K443" s="112">
        <f>K264/(K$234*1000)</f>
        <v>4.688888888888889E-2</v>
      </c>
    </row>
    <row r="444" spans="1:11" x14ac:dyDescent="0.55000000000000004">
      <c r="A444" t="s">
        <v>860</v>
      </c>
      <c r="B444" s="112">
        <f>SUM(B442:B443)</f>
        <v>6.9750000000000006E-2</v>
      </c>
      <c r="C444" s="112">
        <f t="shared" ref="C444:J444" si="71">SUM(C442:C443)</f>
        <v>6.4000000000000001E-2</v>
      </c>
      <c r="D444" s="112">
        <f t="shared" si="71"/>
        <v>6.2954545454545457E-2</v>
      </c>
      <c r="E444" s="112">
        <f t="shared" si="71"/>
        <v>5.6785714285714287E-2</v>
      </c>
      <c r="F444" s="112">
        <f t="shared" si="71"/>
        <v>6.9361702127659575E-2</v>
      </c>
      <c r="G444" s="112">
        <f t="shared" si="71"/>
        <v>7.0909090909090908E-2</v>
      </c>
      <c r="H444" s="112">
        <f t="shared" si="71"/>
        <v>7.7543859649122804E-2</v>
      </c>
      <c r="I444" s="112">
        <f t="shared" si="71"/>
        <v>6.88E-2</v>
      </c>
      <c r="J444" s="112">
        <f t="shared" si="71"/>
        <v>8.1111111111111106E-2</v>
      </c>
      <c r="K444" s="112">
        <f>SUM(K442:K443)</f>
        <v>7.8E-2</v>
      </c>
    </row>
    <row r="446" spans="1:11" x14ac:dyDescent="0.55000000000000004">
      <c r="A446" t="s">
        <v>326</v>
      </c>
      <c r="B446" s="112">
        <f>J444</f>
        <v>8.1111111111111106E-2</v>
      </c>
    </row>
    <row r="447" spans="1:11" x14ac:dyDescent="0.55000000000000004">
      <c r="A447" t="s">
        <v>165</v>
      </c>
      <c r="B447" s="112">
        <f>H78</f>
        <v>3.8498507462686508E-2</v>
      </c>
    </row>
    <row r="448" spans="1:11" x14ac:dyDescent="0.55000000000000004">
      <c r="A448" t="s">
        <v>263</v>
      </c>
      <c r="B448" s="112">
        <f>J168</f>
        <v>2.5746836262420299E-2</v>
      </c>
    </row>
    <row r="450" spans="1:2" x14ac:dyDescent="0.55000000000000004">
      <c r="A450" t="str">
        <f>A446</f>
        <v>Affirm</v>
      </c>
      <c r="B450" s="112">
        <f>J273</f>
        <v>1.9365079365079366E-2</v>
      </c>
    </row>
    <row r="451" spans="1:2" x14ac:dyDescent="0.55000000000000004">
      <c r="A451" t="str">
        <f>A447</f>
        <v>Afterpay</v>
      </c>
      <c r="B451" s="112">
        <f>H85/(H73*1000)</f>
        <v>1.9549701492537166E-2</v>
      </c>
    </row>
    <row r="452" spans="1:2" x14ac:dyDescent="0.55000000000000004">
      <c r="A452" t="str">
        <f>A448</f>
        <v>Klarna</v>
      </c>
      <c r="B452" s="112">
        <f>J185/J159</f>
        <v>1.1987409780884875E-2</v>
      </c>
    </row>
    <row r="476" spans="1:11" x14ac:dyDescent="0.55000000000000004">
      <c r="B476" s="147" t="str">
        <f>B441</f>
        <v>Q1 22</v>
      </c>
      <c r="C476" s="147" t="str">
        <f>C441</f>
        <v>Q2 22</v>
      </c>
      <c r="D476" s="147" t="str">
        <f t="shared" ref="D476:K476" si="72">D441</f>
        <v>Q3 22</v>
      </c>
      <c r="E476" s="147" t="str">
        <f t="shared" si="72"/>
        <v>Q4 22</v>
      </c>
      <c r="F476" s="147" t="str">
        <f t="shared" si="72"/>
        <v>Q1 23</v>
      </c>
      <c r="G476" s="147" t="str">
        <f t="shared" si="72"/>
        <v>Q2 23</v>
      </c>
      <c r="H476" s="147" t="str">
        <f t="shared" si="72"/>
        <v>Q3 23</v>
      </c>
      <c r="I476" s="147" t="str">
        <f t="shared" si="72"/>
        <v>Q4 23</v>
      </c>
      <c r="J476" s="147" t="str">
        <f t="shared" si="72"/>
        <v>Q1 24</v>
      </c>
      <c r="K476" s="147" t="str">
        <f t="shared" si="72"/>
        <v>Q2 24</v>
      </c>
    </row>
    <row r="477" spans="1:11" x14ac:dyDescent="0.55000000000000004">
      <c r="A477" t="s">
        <v>165</v>
      </c>
      <c r="F477" s="113">
        <f t="shared" ref="F477:K477" si="73">F74</f>
        <v>0.59999999999999987</v>
      </c>
      <c r="G477" s="113">
        <f t="shared" si="73"/>
        <v>0.20754716981132093</v>
      </c>
      <c r="H477" s="113">
        <f t="shared" si="73"/>
        <v>0.2407407407407407</v>
      </c>
      <c r="I477" s="113">
        <f t="shared" si="73"/>
        <v>0.22857142857142843</v>
      </c>
      <c r="J477" s="113">
        <f t="shared" si="73"/>
        <v>0.24642857142857166</v>
      </c>
      <c r="K477" s="113">
        <f t="shared" si="73"/>
        <v>0.2109375</v>
      </c>
    </row>
    <row r="478" spans="1:11" x14ac:dyDescent="0.55000000000000004">
      <c r="A478" t="s">
        <v>326</v>
      </c>
      <c r="C478" s="113"/>
      <c r="D478" s="113"/>
      <c r="E478" s="113"/>
      <c r="F478" s="113">
        <f t="shared" ref="F478:K478" si="74">F248</f>
        <v>0.17500000000000004</v>
      </c>
      <c r="G478" s="113">
        <f t="shared" si="74"/>
        <v>0.22222222222222232</v>
      </c>
      <c r="H478" s="113">
        <f t="shared" si="74"/>
        <v>0.29545454545454564</v>
      </c>
      <c r="I478" s="113">
        <f t="shared" si="74"/>
        <v>0.33928571428571441</v>
      </c>
      <c r="J478" s="113">
        <f t="shared" si="74"/>
        <v>0.34042553191489344</v>
      </c>
      <c r="K478" s="113">
        <f t="shared" si="74"/>
        <v>0.30909090909090908</v>
      </c>
    </row>
    <row r="479" spans="1:11" x14ac:dyDescent="0.55000000000000004">
      <c r="A479" t="s">
        <v>263</v>
      </c>
      <c r="F479" s="113">
        <f>G479</f>
        <v>0.17151507551192235</v>
      </c>
      <c r="G479" s="113">
        <f>H479</f>
        <v>0.17151507551192235</v>
      </c>
      <c r="H479" s="113">
        <f>I479</f>
        <v>0.17151507551192235</v>
      </c>
      <c r="I479" s="113">
        <f>$P$159</f>
        <v>0.17151507551192235</v>
      </c>
      <c r="J479" s="113">
        <f>Q159</f>
        <v>0.17314044879826862</v>
      </c>
      <c r="K479" s="113">
        <f>R159</f>
        <v>0.15640926770386265</v>
      </c>
    </row>
    <row r="499" spans="1:11" x14ac:dyDescent="0.55000000000000004">
      <c r="A499" s="110" t="s">
        <v>1095</v>
      </c>
      <c r="B499" s="147" t="str">
        <f>B476</f>
        <v>Q1 22</v>
      </c>
      <c r="C499" s="147" t="str">
        <f t="shared" ref="C499:K499" si="75">C476</f>
        <v>Q2 22</v>
      </c>
      <c r="D499" s="147" t="str">
        <f t="shared" si="75"/>
        <v>Q3 22</v>
      </c>
      <c r="E499" s="147" t="str">
        <f t="shared" si="75"/>
        <v>Q4 22</v>
      </c>
      <c r="F499" s="147" t="str">
        <f t="shared" si="75"/>
        <v>Q1 23</v>
      </c>
      <c r="G499" s="147" t="str">
        <f t="shared" si="75"/>
        <v>Q2 23</v>
      </c>
      <c r="H499" s="147" t="str">
        <f t="shared" si="75"/>
        <v>Q3 23</v>
      </c>
      <c r="I499" s="147" t="str">
        <f t="shared" si="75"/>
        <v>Q4 23</v>
      </c>
      <c r="J499" s="147" t="str">
        <f t="shared" si="75"/>
        <v>Q1 24</v>
      </c>
      <c r="K499" s="147" t="str">
        <f t="shared" si="75"/>
        <v>Q2 24</v>
      </c>
    </row>
    <row r="500" spans="1:11" x14ac:dyDescent="0.55000000000000004">
      <c r="A500" t="s">
        <v>326</v>
      </c>
      <c r="B500" s="113">
        <f>B279</f>
        <v>0.51549295774647885</v>
      </c>
      <c r="C500" s="113">
        <f t="shared" ref="C500:K500" si="76">C279</f>
        <v>0.50549450549450547</v>
      </c>
      <c r="D500" s="113">
        <f t="shared" si="76"/>
        <v>0.50552486187845302</v>
      </c>
      <c r="E500" s="113">
        <f t="shared" si="76"/>
        <v>0.36249999999999999</v>
      </c>
      <c r="F500" s="113">
        <f t="shared" si="76"/>
        <v>0.43832020997375326</v>
      </c>
      <c r="G500" s="113">
        <f t="shared" si="76"/>
        <v>0.40674157303370789</v>
      </c>
      <c r="H500" s="113">
        <f t="shared" si="76"/>
        <v>0.42857142857142855</v>
      </c>
      <c r="I500" s="113">
        <f t="shared" si="76"/>
        <v>0.40947546531302875</v>
      </c>
      <c r="J500" s="113">
        <f t="shared" si="76"/>
        <v>0.40104166666666669</v>
      </c>
      <c r="K500" s="113">
        <f t="shared" si="76"/>
        <v>0.46889226100151743</v>
      </c>
    </row>
    <row r="501" spans="1:11" x14ac:dyDescent="0.55000000000000004">
      <c r="A501" t="s">
        <v>165</v>
      </c>
      <c r="B501" s="113">
        <f t="shared" ref="B501:H501" si="77">B87</f>
        <v>0.39557196140686091</v>
      </c>
      <c r="C501" s="113">
        <f t="shared" si="77"/>
        <v>0.45928168168168232</v>
      </c>
      <c r="D501" s="113">
        <f t="shared" si="77"/>
        <v>0.46629162637603433</v>
      </c>
      <c r="E501" s="113">
        <f t="shared" si="77"/>
        <v>0.47993261547567645</v>
      </c>
      <c r="F501" s="113">
        <f t="shared" si="77"/>
        <v>0.52847360045772596</v>
      </c>
      <c r="G501" s="113">
        <f t="shared" si="77"/>
        <v>0.44105217106911659</v>
      </c>
      <c r="H501" s="113">
        <f t="shared" si="77"/>
        <v>0.5078041404977871</v>
      </c>
      <c r="I501" s="113"/>
      <c r="J501" s="113"/>
      <c r="K501" s="113"/>
    </row>
    <row r="502" spans="1:11" x14ac:dyDescent="0.55000000000000004">
      <c r="A502" t="s">
        <v>263</v>
      </c>
      <c r="F502" s="113">
        <f>D186</f>
        <v>0.4916144675692059</v>
      </c>
      <c r="G502" s="113">
        <f>E186</f>
        <v>0.4941282746160795</v>
      </c>
      <c r="H502" s="113">
        <f>I502</f>
        <v>0.50030721966205838</v>
      </c>
      <c r="I502" s="113">
        <f>I186</f>
        <v>0.50030721966205838</v>
      </c>
      <c r="J502" s="113">
        <f>J186</f>
        <v>0.46558768070395978</v>
      </c>
      <c r="K502" s="113">
        <f>K186</f>
        <v>0.48508543295684914</v>
      </c>
    </row>
    <row r="504" spans="1:11" x14ac:dyDescent="0.55000000000000004">
      <c r="A504" s="108" t="s">
        <v>1103</v>
      </c>
      <c r="B504" s="159" t="str">
        <f>B499</f>
        <v>Q1 22</v>
      </c>
      <c r="C504" s="159" t="str">
        <f t="shared" ref="C504:K504" si="78">C499</f>
        <v>Q2 22</v>
      </c>
      <c r="D504" s="159" t="str">
        <f t="shared" si="78"/>
        <v>Q3 22</v>
      </c>
      <c r="E504" s="159" t="str">
        <f t="shared" si="78"/>
        <v>Q4 22</v>
      </c>
      <c r="F504" s="159" t="str">
        <f t="shared" si="78"/>
        <v>Q1 23</v>
      </c>
      <c r="G504" s="159" t="str">
        <f t="shared" si="78"/>
        <v>Q2 23</v>
      </c>
      <c r="H504" s="159" t="str">
        <f t="shared" si="78"/>
        <v>Q3 23</v>
      </c>
      <c r="I504" s="159" t="str">
        <f t="shared" si="78"/>
        <v>Q4 23</v>
      </c>
      <c r="J504" s="159" t="str">
        <f t="shared" si="78"/>
        <v>Q1 24</v>
      </c>
      <c r="K504" s="159" t="str">
        <f t="shared" si="78"/>
        <v>Q2 24</v>
      </c>
    </row>
    <row r="505" spans="1:11" x14ac:dyDescent="0.55000000000000004">
      <c r="A505" t="s">
        <v>326</v>
      </c>
      <c r="B505" s="113">
        <f t="shared" ref="B505:J505" si="79">B301</f>
        <v>0</v>
      </c>
      <c r="C505" s="113">
        <f t="shared" si="79"/>
        <v>-0.38461538461538464</v>
      </c>
      <c r="D505" s="113">
        <f t="shared" si="79"/>
        <v>-0.38121546961325969</v>
      </c>
      <c r="E505" s="113">
        <f t="shared" si="79"/>
        <v>-0.46</v>
      </c>
      <c r="F505" s="113">
        <f t="shared" si="79"/>
        <v>-0.29658792650918636</v>
      </c>
      <c r="G505" s="113">
        <f t="shared" si="79"/>
        <v>-0.2</v>
      </c>
      <c r="H505" s="113">
        <f t="shared" si="79"/>
        <v>-0.10462776659959759</v>
      </c>
      <c r="I505" s="113">
        <f t="shared" si="79"/>
        <v>3.3840947546531302E-3</v>
      </c>
      <c r="J505" s="113">
        <f t="shared" si="79"/>
        <v>1.736111111111111E-3</v>
      </c>
      <c r="K505" s="113">
        <f>K301</f>
        <v>0.12898330804248861</v>
      </c>
    </row>
    <row r="506" spans="1:11" x14ac:dyDescent="0.55000000000000004">
      <c r="A506" t="str">
        <f>A502</f>
        <v>Klarna</v>
      </c>
      <c r="F506" s="113">
        <f>D211</f>
        <v>-0.37724792887452008</v>
      </c>
      <c r="G506" s="113">
        <f>E211</f>
        <v>-9.5212285456187901E-2</v>
      </c>
      <c r="H506" s="113">
        <f>I211</f>
        <v>-0.26827956989247309</v>
      </c>
      <c r="I506" s="113">
        <f>H506</f>
        <v>-0.26827956989247309</v>
      </c>
      <c r="J506" s="113">
        <f>J211</f>
        <v>-0.11015084852294155</v>
      </c>
      <c r="K506" s="113">
        <f>K211</f>
        <v>-4.7639733565015926E-2</v>
      </c>
    </row>
    <row r="527" spans="2:10" x14ac:dyDescent="0.55000000000000004">
      <c r="B527" t="s">
        <v>1119</v>
      </c>
      <c r="C527" t="s">
        <v>595</v>
      </c>
      <c r="D527" t="s">
        <v>591</v>
      </c>
      <c r="E527" t="s">
        <v>592</v>
      </c>
      <c r="F527" t="s">
        <v>593</v>
      </c>
      <c r="G527" t="s">
        <v>594</v>
      </c>
      <c r="H527" t="s">
        <v>1120</v>
      </c>
      <c r="I527" t="s">
        <v>1121</v>
      </c>
      <c r="J527" t="s">
        <v>1122</v>
      </c>
    </row>
    <row r="528" spans="2:10" x14ac:dyDescent="0.55000000000000004">
      <c r="B528" s="238">
        <v>44713</v>
      </c>
      <c r="C528" s="238">
        <v>45078</v>
      </c>
      <c r="D528" s="238">
        <v>45444</v>
      </c>
      <c r="E528" s="238">
        <v>45809</v>
      </c>
      <c r="F528" s="238">
        <v>46174</v>
      </c>
      <c r="G528" s="238">
        <v>46539</v>
      </c>
      <c r="H528" s="238">
        <v>46905</v>
      </c>
      <c r="I528" s="238">
        <v>47270</v>
      </c>
      <c r="J528" s="238">
        <v>47635</v>
      </c>
    </row>
    <row r="529" spans="1:10" x14ac:dyDescent="0.55000000000000004">
      <c r="A529" t="s">
        <v>1123</v>
      </c>
      <c r="B529" s="115" cm="1">
        <f t="array" ref="B529">_xll.VAData("AFRM_US", B527, "*Gross merchandise value (GMV)", "va actuals", "SD", "IMPL","","")/1000</f>
        <v>15.483000000000001</v>
      </c>
      <c r="C529" s="115" cm="1">
        <f t="array" ref="C529">_xll.VAData("AFRM_US", C527, "*Gross merchandise value (GMV)", "va actuals", "SD", "IMPL","","")/1000</f>
        <v>20.201000000000001</v>
      </c>
      <c r="D529" s="115" cm="1">
        <f t="array" ref="D529">_xll.VAData("AFRM_US", D527, "*Gross merchandise value (GMV)", "va actuals", "SD", "IMPL","","")/1000</f>
        <v>26.646000000000001</v>
      </c>
      <c r="E529" s="115" cm="1">
        <f t="array" ref="E529">_xll.VAData("AFRM_US", E527, "*Gross merchandise value (GMV)", "Consensus", "SD", "IMPL","","")/1000</f>
        <v>34.047765072757358</v>
      </c>
      <c r="F529" s="115" cm="1">
        <f t="array" ref="F529">_xll.VAData("AFRM_US", F527, "*Gross merchandise value (GMV)", "Consensus", "SD", "IMPL","","")/1000</f>
        <v>41.97906079147549</v>
      </c>
      <c r="G529" s="115" cm="1">
        <f t="array" ref="G529">_xll.VAData("AFRM_US", G527, "*Gross merchandise value (GMV)", "Consensus", "SD", "IMPL","","")/1000</f>
        <v>51.295226061701406</v>
      </c>
      <c r="H529" s="115" cm="1">
        <f t="array" ref="H529">_xll.VAData("AFRM_US", H527, "*Gross merchandise value (GMV)", "Consensus", "SD", "IMPL","","")/1000</f>
        <v>58.825722213672833</v>
      </c>
      <c r="I529" s="115" cm="1">
        <f t="array" ref="I529">_xll.VAData("AFRM_US", I527, "*Gross merchandise value (GMV)", "Consensus", "SD", "IMPL","","")/1000</f>
        <v>67.571363170749905</v>
      </c>
      <c r="J529" s="115" cm="1">
        <f t="array" ref="J529">_xll.VAData("AFRM_US", J527, "*Gross merchandise value (GMV)", "Consensus", "SD", "IMPL","","")/1000</f>
        <v>79.983918363447799</v>
      </c>
    </row>
    <row r="530" spans="1:10" x14ac:dyDescent="0.55000000000000004">
      <c r="A530" t="s">
        <v>243</v>
      </c>
      <c r="B530" s="115"/>
      <c r="C530" s="113">
        <f>C529/B529-1</f>
        <v>0.30472130724019886</v>
      </c>
      <c r="D530" s="113">
        <f t="shared" ref="D530:J530" si="80">D529/C529-1</f>
        <v>0.31904361170239093</v>
      </c>
      <c r="E530" s="113">
        <f t="shared" si="80"/>
        <v>0.27778147086832372</v>
      </c>
      <c r="F530" s="113">
        <f t="shared" si="80"/>
        <v>0.23294614791219304</v>
      </c>
      <c r="G530" s="113">
        <f t="shared" si="80"/>
        <v>0.22192409964821591</v>
      </c>
      <c r="H530" s="113">
        <f t="shared" si="80"/>
        <v>0.14680695905137897</v>
      </c>
      <c r="I530" s="113">
        <f t="shared" si="80"/>
        <v>0.14867035419149222</v>
      </c>
      <c r="J530" s="113">
        <f t="shared" si="80"/>
        <v>0.18369549777073324</v>
      </c>
    </row>
    <row r="532" spans="1:10" x14ac:dyDescent="0.55000000000000004">
      <c r="A532" t="s">
        <v>173</v>
      </c>
      <c r="B532">
        <v>2022</v>
      </c>
      <c r="C532">
        <v>2023</v>
      </c>
      <c r="D532">
        <v>2024</v>
      </c>
      <c r="E532">
        <f>D532+1</f>
        <v>2025</v>
      </c>
      <c r="F532">
        <f>E532+1</f>
        <v>2026</v>
      </c>
      <c r="G532">
        <f>F532+1</f>
        <v>2027</v>
      </c>
      <c r="H532">
        <f>G532+1</f>
        <v>2028</v>
      </c>
      <c r="I532" t="s">
        <v>1124</v>
      </c>
    </row>
    <row r="533" spans="1:10" x14ac:dyDescent="0.55000000000000004">
      <c r="A533" t="s">
        <v>165</v>
      </c>
      <c r="B533" s="115">
        <f>BNPL!C42</f>
        <v>21.2</v>
      </c>
      <c r="C533" s="115">
        <f>BNPL!D42</f>
        <v>27.3</v>
      </c>
      <c r="D533" s="115">
        <f>BNPL!E42</f>
        <v>33.033000000000001</v>
      </c>
      <c r="E533" s="115">
        <f>BNPL!F42</f>
        <v>41.291250000000005</v>
      </c>
      <c r="F533" s="115">
        <f>BNPL!G42</f>
        <v>52.852800000000009</v>
      </c>
      <c r="G533" s="115">
        <f>BNPL!H42</f>
        <v>66.066000000000017</v>
      </c>
      <c r="H533" s="115">
        <f>BNPL!I42</f>
        <v>79.279200000000017</v>
      </c>
      <c r="I533" s="113">
        <f>(H533/B533)^(1/6)-1</f>
        <v>0.24586379789873147</v>
      </c>
    </row>
    <row r="534" spans="1:10" x14ac:dyDescent="0.55000000000000004">
      <c r="A534" t="s">
        <v>326</v>
      </c>
      <c r="B534" s="115">
        <f>AVERAGE(B529,C529)</f>
        <v>17.841999999999999</v>
      </c>
      <c r="C534" s="115">
        <f t="shared" ref="C534:H534" si="81">AVERAGE(C529,D529)</f>
        <v>23.423500000000001</v>
      </c>
      <c r="D534" s="115">
        <f t="shared" si="81"/>
        <v>30.346882536378679</v>
      </c>
      <c r="E534" s="115">
        <f t="shared" si="81"/>
        <v>38.013412932116424</v>
      </c>
      <c r="F534" s="115">
        <f t="shared" si="81"/>
        <v>46.637143426588452</v>
      </c>
      <c r="G534" s="115">
        <f t="shared" si="81"/>
        <v>55.060474137687123</v>
      </c>
      <c r="H534" s="115">
        <f t="shared" si="81"/>
        <v>63.198542692211369</v>
      </c>
      <c r="I534" s="113">
        <f>(H534/B534)^(1/6)-1</f>
        <v>0.23465017266582899</v>
      </c>
    </row>
    <row r="537" spans="1:10" x14ac:dyDescent="0.55000000000000004">
      <c r="A537" t="s">
        <v>1125</v>
      </c>
      <c r="B537" s="114"/>
      <c r="C537" s="113">
        <f>(Master!H263-Master!G263)/(Master!H260-Master!G260)</f>
        <v>0.15487486774620912</v>
      </c>
      <c r="D537" s="113">
        <f>(Master!I263-Master!H263)/(Master!I260-Master!H260)</f>
        <v>0.15111813192491871</v>
      </c>
      <c r="E537" s="113">
        <f>(Master!J263-Master!I263)/(Master!J260-Master!I260)</f>
        <v>0.26971217652826229</v>
      </c>
      <c r="F537" s="113">
        <f>(Master!K263-Master!J263)/(Master!K260-Master!J260)</f>
        <v>0.3896039654571426</v>
      </c>
      <c r="G537" s="113">
        <f>(Master!L263-Master!K263)/(Master!L260-Master!K260)</f>
        <v>0.41309993947763485</v>
      </c>
      <c r="H537" s="113">
        <f>(Master!M263-Master!L263)/(Master!M260-Master!L260)</f>
        <v>0.38674911947970664</v>
      </c>
    </row>
    <row r="538" spans="1:10" x14ac:dyDescent="0.55000000000000004">
      <c r="A538" t="s">
        <v>1126</v>
      </c>
      <c r="C538" s="113">
        <f>(Master!H263-Master!G263)/(Master!H54-Master!G54)</f>
        <v>0.11039039150188236</v>
      </c>
      <c r="D538" s="113">
        <f>(Master!I263-Master!H263)/(Master!I54-Master!H54)</f>
        <v>9.8181506539387689E-2</v>
      </c>
      <c r="E538" s="113">
        <f>(Master!J263-Master!I263)/(Master!J54-Master!I54)</f>
        <v>0.17583350821398303</v>
      </c>
      <c r="F538" s="113">
        <f>(Master!K263-Master!J263)/(Master!K54-Master!J54)</f>
        <v>0.23296817782123327</v>
      </c>
      <c r="G538" s="113">
        <f>(Master!L263-Master!K263)/(Master!L54-Master!K54)</f>
        <v>0.26660457840973345</v>
      </c>
      <c r="H538" s="113">
        <f>(Master!M263-Master!L263)/(Master!M54-Master!L54)</f>
        <v>0.27542908635870383</v>
      </c>
    </row>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2C4802-EA78-418B-8400-D116849B1B52}">
  <sheetPr>
    <outlinePr summaryBelow="0" summaryRight="0"/>
  </sheetPr>
  <dimension ref="A1:BB77"/>
  <sheetViews>
    <sheetView showGridLines="0" zoomScale="69" workbookViewId="0">
      <pane xSplit="1" ySplit="7" topLeftCell="B35" activePane="bottomRight" state="frozen"/>
      <selection pane="topRight" activeCell="B1" sqref="B1"/>
      <selection pane="bottomLeft" activeCell="A8" sqref="A8"/>
      <selection pane="bottomRight" activeCell="AE64" sqref="AE64"/>
    </sheetView>
  </sheetViews>
  <sheetFormatPr defaultColWidth="12" defaultRowHeight="15.75" customHeight="1" outlineLevelRow="1" outlineLevelCol="1" x14ac:dyDescent="0.5"/>
  <cols>
    <col min="1" max="1" width="43.26171875" style="3" customWidth="1"/>
    <col min="2" max="2" width="3.9453125" style="3" customWidth="1" collapsed="1"/>
    <col min="3" max="14" width="10.578125" style="3" hidden="1" customWidth="1" outlineLevel="1"/>
    <col min="15" max="41" width="10.578125" style="3" customWidth="1"/>
    <col min="42" max="42" width="6" style="3" customWidth="1"/>
    <col min="43" max="46" width="10.578125" style="3" customWidth="1"/>
    <col min="47" max="47" width="11.68359375" style="3" customWidth="1"/>
    <col min="48" max="51" width="11.5234375" style="3" customWidth="1"/>
    <col min="52" max="52" width="6" style="3" customWidth="1"/>
    <col min="53" max="54" width="11.5234375" style="3" customWidth="1"/>
    <col min="55" max="16384" width="12" style="3"/>
  </cols>
  <sheetData>
    <row r="1" spans="1:54" ht="12.9" x14ac:dyDescent="0.5">
      <c r="A1" s="1" t="s">
        <v>0</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row>
    <row r="2" spans="1:54" ht="12.9" x14ac:dyDescent="0.5">
      <c r="A2" s="4" t="s">
        <v>188</v>
      </c>
      <c r="B2" s="2"/>
      <c r="X2" s="2"/>
      <c r="Y2" s="2"/>
      <c r="Z2" s="2"/>
      <c r="AA2" s="2"/>
      <c r="AB2" s="2"/>
      <c r="AC2" s="2"/>
      <c r="AD2" s="2"/>
      <c r="AE2" s="2"/>
      <c r="AF2" s="2"/>
      <c r="AG2" s="2"/>
      <c r="AH2" s="2"/>
      <c r="AI2" s="2"/>
      <c r="AJ2" s="2"/>
      <c r="AK2" s="2"/>
      <c r="AL2" s="2"/>
      <c r="AM2" s="2"/>
      <c r="AN2" s="2"/>
      <c r="AO2" s="2"/>
      <c r="AP2" s="2"/>
      <c r="AQ2" s="2"/>
      <c r="AR2" s="2"/>
      <c r="AS2" s="2"/>
      <c r="AT2" s="2"/>
      <c r="AU2" s="2"/>
      <c r="AV2" s="2"/>
      <c r="AW2" s="72"/>
      <c r="AX2" s="72"/>
      <c r="AY2" s="72"/>
      <c r="AZ2" s="72"/>
      <c r="BA2" s="72"/>
      <c r="BB2" s="72"/>
    </row>
    <row r="3" spans="1:54" ht="12.9" x14ac:dyDescent="0.5">
      <c r="A3" s="4" t="s">
        <v>189</v>
      </c>
      <c r="B3" s="2"/>
      <c r="W3" s="1"/>
      <c r="X3" s="2"/>
      <c r="Y3" s="2"/>
      <c r="Z3" s="2"/>
      <c r="AA3" s="2"/>
      <c r="AB3" s="2"/>
      <c r="AC3" s="2"/>
      <c r="AD3" s="2"/>
      <c r="AE3" s="2"/>
      <c r="AF3" s="2"/>
      <c r="AG3" s="2"/>
      <c r="AH3" s="2"/>
      <c r="AI3" s="2"/>
      <c r="AJ3" s="2"/>
      <c r="AK3" s="2"/>
      <c r="AL3" s="2"/>
      <c r="AM3" s="2"/>
      <c r="AN3" s="2"/>
      <c r="AO3" s="2"/>
      <c r="AP3" s="2"/>
      <c r="AQ3" s="2"/>
      <c r="AR3" s="2"/>
      <c r="AS3" s="2"/>
      <c r="AT3" s="2"/>
      <c r="AU3" s="2"/>
      <c r="AV3" s="2"/>
      <c r="AW3" s="72"/>
      <c r="AX3" s="72"/>
      <c r="AY3" s="72"/>
      <c r="AZ3" s="72"/>
      <c r="BA3" s="72"/>
      <c r="BB3" s="72"/>
    </row>
    <row r="4" spans="1:54" ht="25.8" collapsed="1" x14ac:dyDescent="0.5">
      <c r="A4" s="4" t="s">
        <v>3</v>
      </c>
      <c r="B4" s="2"/>
      <c r="C4" s="364" t="s">
        <v>4</v>
      </c>
      <c r="D4" s="365"/>
      <c r="E4" s="365"/>
      <c r="F4" s="365"/>
      <c r="G4" s="364" t="s">
        <v>4</v>
      </c>
      <c r="H4" s="365"/>
      <c r="I4" s="365"/>
      <c r="J4" s="365"/>
      <c r="K4" s="364" t="s">
        <v>4</v>
      </c>
      <c r="L4" s="365"/>
      <c r="M4" s="365"/>
      <c r="N4" s="365"/>
      <c r="O4" s="364" t="s">
        <v>4</v>
      </c>
      <c r="P4" s="365"/>
      <c r="Q4" s="365"/>
      <c r="R4" s="365"/>
      <c r="S4" s="364" t="s">
        <v>4</v>
      </c>
      <c r="T4" s="365"/>
      <c r="U4" s="365"/>
      <c r="V4" s="365"/>
      <c r="W4" s="364" t="s">
        <v>4</v>
      </c>
      <c r="X4" s="365"/>
      <c r="Y4" s="365"/>
      <c r="Z4" s="365"/>
      <c r="AA4" s="366" t="s">
        <v>4</v>
      </c>
      <c r="AB4" s="365"/>
      <c r="AC4" s="365"/>
      <c r="AD4" s="365"/>
      <c r="AE4" s="366" t="s">
        <v>4</v>
      </c>
      <c r="AF4" s="365"/>
      <c r="AG4" s="365"/>
      <c r="AH4" s="365"/>
      <c r="AI4" s="366" t="s">
        <v>4</v>
      </c>
      <c r="AJ4" s="365"/>
      <c r="AK4" s="365"/>
      <c r="AL4" s="365"/>
      <c r="AM4" s="6" t="s">
        <v>4</v>
      </c>
      <c r="AN4" s="249"/>
      <c r="AO4" s="11"/>
      <c r="AP4" s="1"/>
      <c r="AQ4" s="364" t="s">
        <v>5</v>
      </c>
      <c r="AR4" s="365"/>
      <c r="AS4" s="365"/>
      <c r="AT4" s="365"/>
      <c r="AU4" s="365"/>
      <c r="AV4" s="365"/>
      <c r="AW4" s="365"/>
      <c r="AX4" s="365"/>
      <c r="AY4" s="365"/>
      <c r="AZ4" s="1"/>
      <c r="BA4" s="364" t="s">
        <v>6</v>
      </c>
      <c r="BB4" s="365"/>
    </row>
    <row r="5" spans="1:54" ht="12.9" hidden="1" outlineLevel="1" x14ac:dyDescent="0.5">
      <c r="A5" s="7"/>
      <c r="B5" s="7"/>
      <c r="C5" s="73">
        <v>42094</v>
      </c>
      <c r="D5" s="9">
        <f t="shared" ref="D5:V5" si="0">EOMONTH(C5,3)</f>
        <v>42185</v>
      </c>
      <c r="E5" s="9">
        <f t="shared" si="0"/>
        <v>42277</v>
      </c>
      <c r="F5" s="9">
        <f t="shared" si="0"/>
        <v>42369</v>
      </c>
      <c r="G5" s="9">
        <f t="shared" si="0"/>
        <v>42460</v>
      </c>
      <c r="H5" s="9">
        <f t="shared" si="0"/>
        <v>42551</v>
      </c>
      <c r="I5" s="9">
        <f t="shared" si="0"/>
        <v>42643</v>
      </c>
      <c r="J5" s="9">
        <f t="shared" si="0"/>
        <v>42735</v>
      </c>
      <c r="K5" s="9">
        <f t="shared" si="0"/>
        <v>42825</v>
      </c>
      <c r="L5" s="9">
        <f t="shared" si="0"/>
        <v>42916</v>
      </c>
      <c r="M5" s="9">
        <f t="shared" si="0"/>
        <v>43008</v>
      </c>
      <c r="N5" s="9">
        <f t="shared" si="0"/>
        <v>43100</v>
      </c>
      <c r="O5" s="9">
        <f t="shared" si="0"/>
        <v>43190</v>
      </c>
      <c r="P5" s="9">
        <f t="shared" si="0"/>
        <v>43281</v>
      </c>
      <c r="Q5" s="9">
        <f t="shared" si="0"/>
        <v>43373</v>
      </c>
      <c r="R5" s="9">
        <f t="shared" si="0"/>
        <v>43465</v>
      </c>
      <c r="S5" s="9">
        <f t="shared" si="0"/>
        <v>43555</v>
      </c>
      <c r="T5" s="9">
        <f t="shared" si="0"/>
        <v>43646</v>
      </c>
      <c r="U5" s="9">
        <f t="shared" si="0"/>
        <v>43738</v>
      </c>
      <c r="V5" s="9">
        <f t="shared" si="0"/>
        <v>43830</v>
      </c>
      <c r="W5" s="9">
        <v>43921</v>
      </c>
      <c r="X5" s="9">
        <v>44012</v>
      </c>
      <c r="Y5" s="9">
        <v>44104</v>
      </c>
      <c r="Z5" s="9">
        <v>44196</v>
      </c>
      <c r="AA5" s="9">
        <v>44286</v>
      </c>
      <c r="AB5" s="10">
        <v>44377</v>
      </c>
      <c r="AC5" s="10">
        <v>44469</v>
      </c>
      <c r="AD5" s="10">
        <v>44561</v>
      </c>
      <c r="AE5" s="10">
        <v>44651</v>
      </c>
      <c r="AF5" s="10">
        <v>44742</v>
      </c>
      <c r="AG5" s="10">
        <v>44834</v>
      </c>
      <c r="AH5" s="10">
        <v>44926</v>
      </c>
      <c r="AI5" s="10">
        <v>45016</v>
      </c>
      <c r="AJ5" s="10">
        <v>45107</v>
      </c>
      <c r="AK5" s="10">
        <v>45199</v>
      </c>
      <c r="AL5" s="10">
        <v>45291</v>
      </c>
      <c r="AM5" s="10">
        <v>45382</v>
      </c>
      <c r="AN5" s="10"/>
      <c r="AO5" s="10"/>
      <c r="AP5" s="1"/>
      <c r="AQ5" s="1"/>
      <c r="AR5" s="1"/>
      <c r="AS5" s="1"/>
      <c r="AT5" s="1"/>
      <c r="AU5" s="1"/>
      <c r="AV5" s="1"/>
      <c r="AW5" s="7"/>
      <c r="AX5" s="7"/>
      <c r="AY5" s="7"/>
      <c r="AZ5" s="7"/>
      <c r="BA5" s="10">
        <v>45016</v>
      </c>
      <c r="BB5" s="10">
        <v>45382</v>
      </c>
    </row>
    <row r="6" spans="1:54" ht="12.9" x14ac:dyDescent="0.5">
      <c r="A6" s="7"/>
      <c r="B6" s="7"/>
      <c r="C6" s="11" t="s">
        <v>7</v>
      </c>
      <c r="D6" s="11" t="s">
        <v>8</v>
      </c>
      <c r="E6" s="11" t="s">
        <v>9</v>
      </c>
      <c r="F6" s="11" t="s">
        <v>10</v>
      </c>
      <c r="G6" s="11" t="s">
        <v>7</v>
      </c>
      <c r="H6" s="11" t="s">
        <v>8</v>
      </c>
      <c r="I6" s="11" t="s">
        <v>9</v>
      </c>
      <c r="J6" s="11" t="s">
        <v>10</v>
      </c>
      <c r="K6" s="11" t="s">
        <v>7</v>
      </c>
      <c r="L6" s="11" t="s">
        <v>8</v>
      </c>
      <c r="M6" s="11" t="s">
        <v>9</v>
      </c>
      <c r="N6" s="11" t="s">
        <v>10</v>
      </c>
      <c r="O6" s="11" t="s">
        <v>7</v>
      </c>
      <c r="P6" s="11" t="s">
        <v>8</v>
      </c>
      <c r="Q6" s="11" t="s">
        <v>9</v>
      </c>
      <c r="R6" s="11" t="s">
        <v>10</v>
      </c>
      <c r="S6" s="11" t="s">
        <v>7</v>
      </c>
      <c r="T6" s="11" t="s">
        <v>8</v>
      </c>
      <c r="U6" s="11" t="s">
        <v>9</v>
      </c>
      <c r="V6" s="11" t="s">
        <v>10</v>
      </c>
      <c r="W6" s="11" t="s">
        <v>7</v>
      </c>
      <c r="X6" s="1" t="s">
        <v>8</v>
      </c>
      <c r="Y6" s="11" t="s">
        <v>9</v>
      </c>
      <c r="Z6" s="1" t="s">
        <v>10</v>
      </c>
      <c r="AA6" s="1" t="s">
        <v>7</v>
      </c>
      <c r="AB6" s="1" t="s">
        <v>8</v>
      </c>
      <c r="AC6" s="1" t="s">
        <v>9</v>
      </c>
      <c r="AD6" s="1" t="s">
        <v>10</v>
      </c>
      <c r="AE6" s="11" t="s">
        <v>7</v>
      </c>
      <c r="AF6" s="11" t="s">
        <v>8</v>
      </c>
      <c r="AG6" s="11" t="s">
        <v>9</v>
      </c>
      <c r="AH6" s="11" t="s">
        <v>10</v>
      </c>
      <c r="AI6" s="11" t="s">
        <v>7</v>
      </c>
      <c r="AJ6" s="11" t="s">
        <v>8</v>
      </c>
      <c r="AK6" s="11" t="s">
        <v>9</v>
      </c>
      <c r="AL6" s="11" t="s">
        <v>10</v>
      </c>
      <c r="AM6" s="11" t="s">
        <v>7</v>
      </c>
      <c r="AN6" s="11" t="s">
        <v>8</v>
      </c>
      <c r="AO6" s="11"/>
      <c r="AP6" s="1"/>
      <c r="AQ6" s="1" t="s">
        <v>10</v>
      </c>
      <c r="AR6" s="1" t="s">
        <v>10</v>
      </c>
      <c r="AS6" s="1" t="s">
        <v>10</v>
      </c>
      <c r="AT6" s="1" t="s">
        <v>10</v>
      </c>
      <c r="AU6" s="1" t="s">
        <v>10</v>
      </c>
      <c r="AV6" s="1" t="s">
        <v>10</v>
      </c>
      <c r="AW6" s="1" t="s">
        <v>10</v>
      </c>
      <c r="AX6" s="1" t="s">
        <v>10</v>
      </c>
      <c r="AY6" s="11" t="s">
        <v>10</v>
      </c>
      <c r="AZ6" s="11"/>
      <c r="BA6" s="11" t="s">
        <v>7</v>
      </c>
      <c r="BB6" s="11" t="s">
        <v>7</v>
      </c>
    </row>
    <row r="7" spans="1:54" ht="12.9" x14ac:dyDescent="0.5">
      <c r="A7" s="7"/>
      <c r="B7" s="7"/>
      <c r="C7" s="1">
        <v>2015</v>
      </c>
      <c r="D7" s="1">
        <v>2015</v>
      </c>
      <c r="E7" s="1">
        <v>2015</v>
      </c>
      <c r="F7" s="1">
        <v>2015</v>
      </c>
      <c r="G7" s="1">
        <v>2016</v>
      </c>
      <c r="H7" s="1">
        <v>2016</v>
      </c>
      <c r="I7" s="1">
        <v>2016</v>
      </c>
      <c r="J7" s="1">
        <v>2016</v>
      </c>
      <c r="K7" s="1">
        <v>2017</v>
      </c>
      <c r="L7" s="1">
        <v>2017</v>
      </c>
      <c r="M7" s="1">
        <v>2017</v>
      </c>
      <c r="N7" s="1">
        <v>2017</v>
      </c>
      <c r="O7" s="1">
        <v>2018</v>
      </c>
      <c r="P7" s="1">
        <v>2018</v>
      </c>
      <c r="Q7" s="1">
        <v>2018</v>
      </c>
      <c r="R7" s="1">
        <v>2018</v>
      </c>
      <c r="S7" s="1">
        <v>2019</v>
      </c>
      <c r="T7" s="1">
        <v>2019</v>
      </c>
      <c r="U7" s="1">
        <v>2019</v>
      </c>
      <c r="V7" s="1">
        <v>2019</v>
      </c>
      <c r="W7" s="1">
        <v>2020</v>
      </c>
      <c r="X7" s="1">
        <v>2020</v>
      </c>
      <c r="Y7" s="1">
        <v>2020</v>
      </c>
      <c r="Z7" s="1">
        <v>2020</v>
      </c>
      <c r="AA7" s="1">
        <v>2021</v>
      </c>
      <c r="AB7" s="1">
        <v>2021</v>
      </c>
      <c r="AC7" s="1">
        <v>2021</v>
      </c>
      <c r="AD7" s="1">
        <v>2021</v>
      </c>
      <c r="AE7" s="1">
        <v>2022</v>
      </c>
      <c r="AF7" s="1">
        <v>2022</v>
      </c>
      <c r="AG7" s="1">
        <v>2022</v>
      </c>
      <c r="AH7" s="1">
        <v>2022</v>
      </c>
      <c r="AI7" s="1">
        <v>2023</v>
      </c>
      <c r="AJ7" s="1">
        <v>2023</v>
      </c>
      <c r="AK7" s="1">
        <v>2023</v>
      </c>
      <c r="AL7" s="1">
        <v>2023</v>
      </c>
      <c r="AM7" s="1">
        <v>2024</v>
      </c>
      <c r="AN7" s="1">
        <v>2024</v>
      </c>
      <c r="AO7" s="1"/>
      <c r="AP7" s="1"/>
      <c r="AQ7" s="1">
        <v>2015</v>
      </c>
      <c r="AR7" s="1">
        <v>2016</v>
      </c>
      <c r="AS7" s="1">
        <v>2017</v>
      </c>
      <c r="AT7" s="1">
        <v>2018</v>
      </c>
      <c r="AU7" s="1">
        <v>2019</v>
      </c>
      <c r="AV7" s="1">
        <v>2020</v>
      </c>
      <c r="AW7" s="1">
        <v>2021</v>
      </c>
      <c r="AX7" s="1">
        <v>2022</v>
      </c>
      <c r="AY7" s="1">
        <v>2023</v>
      </c>
      <c r="AZ7" s="1"/>
      <c r="BA7" s="1">
        <v>2023</v>
      </c>
      <c r="BB7" s="1">
        <v>2024</v>
      </c>
    </row>
    <row r="8" spans="1:54" ht="12.9" x14ac:dyDescent="0.5">
      <c r="A8" s="56"/>
      <c r="B8" s="2"/>
      <c r="C8" s="12"/>
      <c r="D8" s="12"/>
      <c r="E8" s="12"/>
      <c r="F8" s="12"/>
      <c r="G8" s="12"/>
      <c r="H8" s="12"/>
      <c r="I8" s="12"/>
      <c r="J8" s="12"/>
      <c r="K8" s="26"/>
      <c r="L8" s="12"/>
      <c r="M8" s="12"/>
      <c r="N8" s="12"/>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
      <c r="AQ8" s="2"/>
      <c r="AR8" s="2"/>
      <c r="AS8" s="2"/>
      <c r="AT8" s="2"/>
      <c r="AU8" s="2"/>
      <c r="AV8" s="2"/>
      <c r="AW8" s="2"/>
      <c r="AX8" s="2"/>
      <c r="AY8" s="2"/>
      <c r="AZ8" s="2"/>
      <c r="BA8" s="2"/>
      <c r="BB8" s="2"/>
    </row>
    <row r="9" spans="1:54" ht="12.9" x14ac:dyDescent="0.5">
      <c r="A9" s="7" t="s">
        <v>190</v>
      </c>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row>
    <row r="10" spans="1:54" ht="12.9" x14ac:dyDescent="0.5">
      <c r="A10" s="2" t="s">
        <v>191</v>
      </c>
      <c r="B10" s="2"/>
      <c r="C10" s="38">
        <v>7117</v>
      </c>
      <c r="D10" s="38">
        <v>8793</v>
      </c>
      <c r="E10" s="38">
        <v>9540</v>
      </c>
      <c r="F10" s="38">
        <v>10193</v>
      </c>
      <c r="G10" s="38">
        <v>10290</v>
      </c>
      <c r="H10" s="38">
        <v>12450.837</v>
      </c>
      <c r="I10" s="38">
        <v>13248.135</v>
      </c>
      <c r="J10" s="38">
        <v>13693.983</v>
      </c>
      <c r="K10" s="38">
        <v>13647</v>
      </c>
      <c r="L10" s="38">
        <v>16421.172999999999</v>
      </c>
      <c r="M10" s="38">
        <v>17386.205000000002</v>
      </c>
      <c r="N10" s="38">
        <v>17888.400000000001</v>
      </c>
      <c r="O10" s="38">
        <v>17826.54</v>
      </c>
      <c r="P10" s="38">
        <v>21371.511999999999</v>
      </c>
      <c r="Q10" s="38">
        <v>22497.848000000002</v>
      </c>
      <c r="R10" s="38">
        <v>22957.891</v>
      </c>
      <c r="S10" s="38">
        <v>22586.5</v>
      </c>
      <c r="T10" s="38">
        <v>26784.714</v>
      </c>
      <c r="U10" s="38">
        <v>28228.258999999998</v>
      </c>
      <c r="V10" s="38">
        <v>28639.221000000001</v>
      </c>
      <c r="W10" s="38">
        <v>25742.639999999999</v>
      </c>
      <c r="X10" s="38">
        <v>22800.998</v>
      </c>
      <c r="Y10" s="38">
        <v>31728.725999999999</v>
      </c>
      <c r="Z10" s="38">
        <v>32022.498</v>
      </c>
      <c r="AA10" s="38">
        <v>33138.01</v>
      </c>
      <c r="AB10" s="38">
        <v>42828.485000000001</v>
      </c>
      <c r="AC10" s="38">
        <v>45425.946000000004</v>
      </c>
      <c r="AD10" s="38">
        <v>46327.747000000003</v>
      </c>
      <c r="AE10" s="38">
        <v>43504.381999999998</v>
      </c>
      <c r="AF10" s="38">
        <v>52498.807000000001</v>
      </c>
      <c r="AG10" s="38">
        <v>54373.093999999997</v>
      </c>
      <c r="AH10" s="38">
        <v>53159.646000000001</v>
      </c>
      <c r="AI10" s="38">
        <v>51117.478000000003</v>
      </c>
      <c r="AJ10" s="38">
        <v>59011.767</v>
      </c>
      <c r="AK10" s="38">
        <v>60075.944000000003</v>
      </c>
      <c r="AL10" s="38">
        <f>57494.104</f>
        <v>57494.103999999999</v>
      </c>
      <c r="AM10" s="38">
        <v>54425.637999999999</v>
      </c>
      <c r="AN10" s="38">
        <v>61940.688999999998</v>
      </c>
      <c r="AO10" s="38"/>
      <c r="AP10" s="12"/>
      <c r="AQ10" s="12">
        <f>SUMIFS($C10:$U10,$C$7:$U$7,AQ$7)</f>
        <v>35643</v>
      </c>
      <c r="AR10" s="12">
        <f>SUMIFS($C10:$U10,$C$7:$U$7,AR$7)</f>
        <v>49682.955000000002</v>
      </c>
      <c r="AS10" s="12">
        <f>SUMIFS($C10:$U10,$C$7:$U$7,AS$7)</f>
        <v>65342.777999999998</v>
      </c>
      <c r="AT10" s="12">
        <f>SUMIFS($C10:$U10,$C$7:$U$7,AT$7)</f>
        <v>84653.790999999997</v>
      </c>
      <c r="AU10" s="12">
        <f>SUMIFS($C10:$V10,$C$7:$V$7,AU$7)</f>
        <v>106238.694</v>
      </c>
      <c r="AV10" s="12">
        <f>SUMIFS($C10:$Z10,$C$7:$Z$7,AV$7)</f>
        <v>112294.86199999999</v>
      </c>
      <c r="AW10" s="12">
        <f>SUMIFS($C10:$AD10,$C$7:$AD$7,AW$7)</f>
        <v>167720.18799999999</v>
      </c>
      <c r="AX10" s="12">
        <f>SUMIFS($C10:$AH10,$C$7:$AH$7,AX$7)</f>
        <v>203535.929</v>
      </c>
      <c r="AY10" s="12">
        <f>SUMIFS($C10:$AL10,$C$7:$AL$7,AY$7)</f>
        <v>227699.29300000001</v>
      </c>
      <c r="AZ10" s="12"/>
      <c r="BA10" s="12"/>
      <c r="BB10" s="12"/>
    </row>
    <row r="11" spans="1:54" ht="12.9" x14ac:dyDescent="0.5">
      <c r="A11" s="56" t="s">
        <v>192</v>
      </c>
      <c r="B11" s="56"/>
      <c r="C11" s="56"/>
      <c r="D11" s="56"/>
      <c r="E11" s="56"/>
      <c r="F11" s="56"/>
      <c r="G11" s="121">
        <f t="shared" ref="G11:V11" si="1">G10/C10-1</f>
        <v>0.44583391878600542</v>
      </c>
      <c r="H11" s="121">
        <f t="shared" si="1"/>
        <v>0.41599419993176379</v>
      </c>
      <c r="I11" s="121">
        <f t="shared" si="1"/>
        <v>0.38869339622641519</v>
      </c>
      <c r="J11" s="121">
        <f t="shared" si="1"/>
        <v>0.3434693417050918</v>
      </c>
      <c r="K11" s="121">
        <f t="shared" si="1"/>
        <v>0.32623906705539363</v>
      </c>
      <c r="L11" s="121">
        <f t="shared" si="1"/>
        <v>0.3188810519324925</v>
      </c>
      <c r="M11" s="121">
        <f t="shared" si="1"/>
        <v>0.31235113470688525</v>
      </c>
      <c r="N11" s="121">
        <f t="shared" si="1"/>
        <v>0.30629634927982607</v>
      </c>
      <c r="O11" s="121">
        <f t="shared" si="1"/>
        <v>0.30626071664102006</v>
      </c>
      <c r="P11" s="121">
        <f t="shared" si="1"/>
        <v>0.30146074217718799</v>
      </c>
      <c r="Q11" s="121">
        <f t="shared" si="1"/>
        <v>0.29400567864004823</v>
      </c>
      <c r="R11" s="121">
        <f t="shared" si="1"/>
        <v>0.28339544062073729</v>
      </c>
      <c r="S11" s="121">
        <f t="shared" si="1"/>
        <v>0.26701536024377126</v>
      </c>
      <c r="T11" s="121">
        <f t="shared" si="1"/>
        <v>0.25329054865186906</v>
      </c>
      <c r="U11" s="121">
        <f t="shared" si="1"/>
        <v>0.25470929486233507</v>
      </c>
      <c r="V11" s="121">
        <f t="shared" si="1"/>
        <v>0.24746741762995583</v>
      </c>
      <c r="W11" s="121">
        <v>0.01</v>
      </c>
      <c r="X11" s="121">
        <f t="shared" ref="X11:AM11" si="2">X10/T10-1</f>
        <v>-0.14873095154198768</v>
      </c>
      <c r="Y11" s="121">
        <f t="shared" si="2"/>
        <v>0.1240057702460502</v>
      </c>
      <c r="Z11" s="121">
        <f t="shared" si="2"/>
        <v>0.11813439339009957</v>
      </c>
      <c r="AA11" s="121">
        <f t="shared" si="2"/>
        <v>0.28728094709788898</v>
      </c>
      <c r="AB11" s="121">
        <f t="shared" si="2"/>
        <v>0.8783601051146972</v>
      </c>
      <c r="AC11" s="121">
        <f t="shared" si="2"/>
        <v>0.43169776183260566</v>
      </c>
      <c r="AD11" s="121">
        <f t="shared" si="2"/>
        <v>0.44672495568584325</v>
      </c>
      <c r="AE11" s="121">
        <f t="shared" si="2"/>
        <v>0.31282421605883992</v>
      </c>
      <c r="AF11" s="121">
        <f t="shared" si="2"/>
        <v>0.22579182990012381</v>
      </c>
      <c r="AG11" s="121">
        <f t="shared" si="2"/>
        <v>0.19696118161193588</v>
      </c>
      <c r="AH11" s="121">
        <f t="shared" si="2"/>
        <v>0.14746883762769647</v>
      </c>
      <c r="AI11" s="121">
        <f t="shared" si="2"/>
        <v>0.17499607280940133</v>
      </c>
      <c r="AJ11" s="121">
        <f t="shared" si="2"/>
        <v>0.12405920005001247</v>
      </c>
      <c r="AK11" s="121">
        <f t="shared" si="2"/>
        <v>0.10488367647425045</v>
      </c>
      <c r="AL11" s="121">
        <f t="shared" si="2"/>
        <v>8.1536622723183738E-2</v>
      </c>
      <c r="AM11" s="121">
        <f t="shared" si="2"/>
        <v>6.4716807820604849E-2</v>
      </c>
      <c r="AN11" s="121">
        <v>4.963284695406589E-2</v>
      </c>
      <c r="AO11" s="121"/>
      <c r="AP11" s="121"/>
      <c r="AQ11" s="121"/>
      <c r="AR11" s="121">
        <f t="shared" ref="AR11:AY11" si="3">AR10/AQ10-1</f>
        <v>0.39390497432876015</v>
      </c>
      <c r="AS11" s="121">
        <f t="shared" si="3"/>
        <v>0.31519508048585276</v>
      </c>
      <c r="AT11" s="121">
        <f t="shared" si="3"/>
        <v>0.2955340068339305</v>
      </c>
      <c r="AU11" s="121">
        <f t="shared" si="3"/>
        <v>0.25497857502920351</v>
      </c>
      <c r="AV11" s="121">
        <f t="shared" si="3"/>
        <v>5.7005294135110463E-2</v>
      </c>
      <c r="AW11" s="121">
        <f t="shared" si="3"/>
        <v>0.49356956331626289</v>
      </c>
      <c r="AX11" s="121">
        <f t="shared" si="3"/>
        <v>0.21354460322927848</v>
      </c>
      <c r="AY11" s="121">
        <f t="shared" si="3"/>
        <v>0.11871792915736279</v>
      </c>
      <c r="AZ11" s="121"/>
      <c r="BA11" s="121"/>
      <c r="BB11" s="121"/>
    </row>
    <row r="12" spans="1:54" ht="12.9" x14ac:dyDescent="0.5">
      <c r="A12" s="7"/>
      <c r="B12" s="2"/>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row>
    <row r="13" spans="1:54" ht="12.9" x14ac:dyDescent="0.5">
      <c r="A13" s="2" t="s">
        <v>193</v>
      </c>
      <c r="B13" s="2"/>
      <c r="C13" s="36">
        <f>'[23]GAAP IS'!C28/1000</f>
        <v>36.180999999999997</v>
      </c>
      <c r="D13" s="36">
        <f>'[23]GAAP IS'!D28/1000</f>
        <v>31.73</v>
      </c>
      <c r="E13" s="36">
        <f>'[23]GAAP IS'!E28/1000</f>
        <v>39.259</v>
      </c>
      <c r="F13" s="36">
        <f>'[23]GAAP IS'!F28/1000</f>
        <v>38.448</v>
      </c>
      <c r="G13" s="36">
        <f>'[23]GAAP IS'!G28/1000</f>
        <v>38.496000000000002</v>
      </c>
      <c r="H13" s="36">
        <f>'[23]GAAP IS'!H28/1000</f>
        <v>39.22</v>
      </c>
      <c r="I13" s="36">
        <f>'[23]GAAP IS'!I28/1000</f>
        <v>46.753999999999998</v>
      </c>
      <c r="J13" s="36">
        <f>'[23]GAAP IS'!J28/1000</f>
        <v>49.405999999999999</v>
      </c>
      <c r="K13" s="36">
        <f>'[23]GAAP IS'!K28/1000</f>
        <v>49.9</v>
      </c>
      <c r="L13" s="36">
        <f>'[23]GAAP IS'!L28/1000</f>
        <v>59.915999999999997</v>
      </c>
      <c r="M13" s="36">
        <f>'[23]GAAP IS'!M28/1000</f>
        <v>66.533000000000001</v>
      </c>
      <c r="N13" s="36">
        <f>'[23]GAAP IS'!N28/1000</f>
        <v>76.820999999999998</v>
      </c>
      <c r="O13" s="36">
        <f>'[23]GAAP IS'!O28/1000</f>
        <v>77.266000000000005</v>
      </c>
      <c r="P13" s="36">
        <f>'[23]GAAP IS'!P28/1000</f>
        <v>98.242999999999995</v>
      </c>
      <c r="Q13" s="36">
        <f>'[23]GAAP IS'!Q28/1000</f>
        <v>116.337</v>
      </c>
      <c r="R13" s="36">
        <f>'[23]GAAP IS'!R28/1000</f>
        <v>119.30500000000001</v>
      </c>
      <c r="S13" s="36">
        <f>'[23]GAAP IS'!S28/1000</f>
        <v>133.84800000000001</v>
      </c>
      <c r="T13" s="36">
        <f>'[23]GAAP IS'!T28/1000</f>
        <v>156.55600000000001</v>
      </c>
      <c r="U13" s="36">
        <f>'[23]GAAP IS'!U28/1000</f>
        <v>149.49100000000001</v>
      </c>
      <c r="V13" s="36">
        <f>'[23]GAAP IS'!V28/1000</f>
        <v>185.23099999999999</v>
      </c>
      <c r="W13" s="36">
        <f>'[23]GAAP IS'!W28/1000</f>
        <v>194.535</v>
      </c>
      <c r="X13" s="36">
        <f>'[23]GAAP IS'!X28/1000</f>
        <v>238.096</v>
      </c>
      <c r="Y13" s="36">
        <f>'[23]GAAP IS'!Y28/1000</f>
        <v>348.46300000000002</v>
      </c>
      <c r="Z13" s="36">
        <f>'[23]GAAP IS'!Z28/1000</f>
        <v>328.57600000000002</v>
      </c>
      <c r="AA13" s="36">
        <f>'[23]GAAP IS'!AA28/1000</f>
        <v>349.46</v>
      </c>
      <c r="AB13" s="36">
        <f>'[23]GAAP IS'!AB28/1000</f>
        <v>373.87799999999999</v>
      </c>
      <c r="AC13" s="36">
        <f>'[23]GAAP IS'!AC28/1000</f>
        <v>409.07299999999998</v>
      </c>
      <c r="AD13" s="36">
        <f>'[23]GAAP IS'!AD28/1000</f>
        <v>484.77800000000002</v>
      </c>
      <c r="AE13" s="36">
        <f>'[23]GAAP IS'!AE28/1000</f>
        <v>501.56200000000001</v>
      </c>
      <c r="AF13" s="36">
        <f>'[23]GAAP IS'!AF28/1000</f>
        <v>530.827</v>
      </c>
      <c r="AG13" s="36">
        <f>'[23]GAAP IS'!AG28/1000</f>
        <v>485.83800000000002</v>
      </c>
      <c r="AH13" s="36">
        <f>'[23]GAAP IS'!AH28/1000</f>
        <v>539.72400000000005</v>
      </c>
      <c r="AI13" s="36">
        <f>'[23]GAAP IS'!AI28/1000</f>
        <v>496.01100000000002</v>
      </c>
      <c r="AJ13" s="36">
        <f>'[23]GAAP IS'!AJ28/1000</f>
        <v>537.60699999999997</v>
      </c>
      <c r="AK13" s="36">
        <f>'[23]GAAP IS'!AK28/1000</f>
        <v>479.38099999999997</v>
      </c>
      <c r="AL13" s="36">
        <f>'[23]GAAP IS'!AL28/1000</f>
        <v>506.01</v>
      </c>
      <c r="AM13" s="36">
        <f>'[23]GAAP IS'!AM28/1000</f>
        <v>443.88499999999999</v>
      </c>
      <c r="AN13" s="36">
        <v>507.56200000000001</v>
      </c>
      <c r="AO13" s="36"/>
      <c r="AP13" s="2"/>
      <c r="AQ13" s="12">
        <f t="shared" ref="AQ13:AS14" si="4">SUMIFS($C13:$U13,$C$7:$U$7,AQ$7)</f>
        <v>145.61799999999999</v>
      </c>
      <c r="AR13" s="12">
        <f t="shared" si="4"/>
        <v>173.876</v>
      </c>
      <c r="AS13" s="12">
        <f t="shared" si="4"/>
        <v>253.17</v>
      </c>
      <c r="AT13" s="12">
        <f>SUMIFS($C13:$V13,$C$7:$V$7,AT$7)</f>
        <v>411.15100000000001</v>
      </c>
      <c r="AU13" s="12">
        <f t="shared" ref="AU13:AW14" si="5">SUMIFS($C13:$AD13,$C$7:$AD$7,AU$7)</f>
        <v>625.12599999999998</v>
      </c>
      <c r="AV13" s="12">
        <f t="shared" si="5"/>
        <v>1109.67</v>
      </c>
      <c r="AW13" s="12">
        <f t="shared" si="5"/>
        <v>1617.1890000000001</v>
      </c>
      <c r="AX13" s="12">
        <f>SUMIFS($C13:$AH13,$C$7:$AH$7,AX$7)</f>
        <v>2057.951</v>
      </c>
      <c r="AY13" s="12">
        <f>SUMIFS($C13:$AL13,$C$7:$AL$7,AY$7)</f>
        <v>2019.0089999999998</v>
      </c>
      <c r="AZ13" s="12"/>
      <c r="BA13" s="12"/>
      <c r="BB13" s="12"/>
    </row>
    <row r="14" spans="1:54" ht="12.9" x14ac:dyDescent="0.5">
      <c r="A14" s="2" t="s">
        <v>194</v>
      </c>
      <c r="B14" s="2"/>
      <c r="C14" s="16">
        <v>2.772567</v>
      </c>
      <c r="D14" s="16">
        <v>2.147135</v>
      </c>
      <c r="E14" s="16">
        <v>3.871413</v>
      </c>
      <c r="F14" s="16">
        <v>3.319601</v>
      </c>
      <c r="G14" s="16">
        <v>4.4872670000000001</v>
      </c>
      <c r="H14" s="16">
        <v>3.0716320000000001</v>
      </c>
      <c r="I14" s="16">
        <v>6.0564439999999999</v>
      </c>
      <c r="J14" s="16">
        <v>6.1495379999999997</v>
      </c>
      <c r="K14" s="16">
        <v>8.7751239999999999</v>
      </c>
      <c r="L14" s="16">
        <v>10.024905</v>
      </c>
      <c r="M14" s="16">
        <v>12.436387</v>
      </c>
      <c r="N14" s="16">
        <v>16.672913999999999</v>
      </c>
      <c r="O14" s="16">
        <v>21.692951000000001</v>
      </c>
      <c r="P14" s="16">
        <v>32.404161999999999</v>
      </c>
      <c r="Q14" s="16">
        <v>43.112597999999998</v>
      </c>
      <c r="R14" s="16">
        <v>46.430798000000003</v>
      </c>
      <c r="S14" s="16">
        <v>59.368071</v>
      </c>
      <c r="T14" s="16">
        <v>69.801192</v>
      </c>
      <c r="U14" s="16">
        <v>68.444305</v>
      </c>
      <c r="V14" s="16">
        <v>92.438588999999993</v>
      </c>
      <c r="W14" s="16">
        <v>107.554</v>
      </c>
      <c r="X14" s="38">
        <v>149.35234700000001</v>
      </c>
      <c r="Y14" s="38">
        <v>216.98</v>
      </c>
      <c r="Z14" s="38">
        <v>223.39599999999999</v>
      </c>
      <c r="AA14" s="38">
        <v>221.07400000000001</v>
      </c>
      <c r="AB14" s="38">
        <v>223.964</v>
      </c>
      <c r="AC14" s="38">
        <v>240.20699999999999</v>
      </c>
      <c r="AD14" s="38">
        <v>312.14</v>
      </c>
      <c r="AE14" s="38">
        <v>249.69399999999999</v>
      </c>
      <c r="AF14" s="38">
        <v>249.065</v>
      </c>
      <c r="AG14" s="38">
        <v>251.852</v>
      </c>
      <c r="AH14" s="38">
        <v>284.67</v>
      </c>
      <c r="AI14" s="38">
        <v>271.84699999999998</v>
      </c>
      <c r="AJ14" s="38">
        <v>273.83999999999997</v>
      </c>
      <c r="AK14" s="38">
        <v>248.58799999999999</v>
      </c>
      <c r="AL14" s="38">
        <v>313.67099999999999</v>
      </c>
      <c r="AM14" s="38">
        <v>256.04899999999998</v>
      </c>
      <c r="AN14" s="38">
        <v>313.43099999999998</v>
      </c>
      <c r="AO14" s="38"/>
      <c r="AP14" s="12"/>
      <c r="AQ14" s="12">
        <f t="shared" si="4"/>
        <v>12.110716</v>
      </c>
      <c r="AR14" s="12">
        <f t="shared" si="4"/>
        <v>19.764880999999999</v>
      </c>
      <c r="AS14" s="12">
        <f t="shared" si="4"/>
        <v>47.909329999999997</v>
      </c>
      <c r="AT14" s="12">
        <f>SUMIFS($C14:$V14,$C$7:$V$7,AT$7)</f>
        <v>143.64050900000001</v>
      </c>
      <c r="AU14" s="12">
        <f t="shared" si="5"/>
        <v>290.05215699999997</v>
      </c>
      <c r="AV14" s="12">
        <f t="shared" si="5"/>
        <v>697.28234699999996</v>
      </c>
      <c r="AW14" s="12">
        <f t="shared" si="5"/>
        <v>997.38499999999999</v>
      </c>
      <c r="AX14" s="12">
        <f>SUMIFS($C14:$AH14,$C$7:$AH$7,AX$7)</f>
        <v>1035.2809999999999</v>
      </c>
      <c r="AY14" s="12">
        <f>SUMIFS($C14:$AL14,$C$7:$AL$7,AY$7)</f>
        <v>1107.9459999999999</v>
      </c>
      <c r="AZ14" s="12"/>
      <c r="BA14" s="12"/>
      <c r="BB14" s="12"/>
    </row>
    <row r="15" spans="1:54" ht="12.9" x14ac:dyDescent="0.5">
      <c r="A15" s="56" t="s">
        <v>195</v>
      </c>
      <c r="B15" s="56"/>
      <c r="C15" s="122"/>
      <c r="D15" s="122"/>
      <c r="E15" s="122"/>
      <c r="F15" s="122"/>
      <c r="G15" s="80">
        <f t="shared" ref="G15:Y15" si="6">G14/C14-1</f>
        <v>0.61845214200414267</v>
      </c>
      <c r="H15" s="80">
        <f t="shared" si="6"/>
        <v>0.43057236736395255</v>
      </c>
      <c r="I15" s="80">
        <f t="shared" si="6"/>
        <v>0.56440142139317095</v>
      </c>
      <c r="J15" s="80">
        <f t="shared" si="6"/>
        <v>0.85249311588952992</v>
      </c>
      <c r="K15" s="80">
        <f t="shared" si="6"/>
        <v>0.95556092383181124</v>
      </c>
      <c r="L15" s="80">
        <f t="shared" si="6"/>
        <v>2.2637063945160096</v>
      </c>
      <c r="M15" s="80">
        <f t="shared" si="6"/>
        <v>1.0534140165417201</v>
      </c>
      <c r="N15" s="80">
        <f t="shared" si="6"/>
        <v>1.71124660096417</v>
      </c>
      <c r="O15" s="80">
        <f t="shared" si="6"/>
        <v>1.4720962347654574</v>
      </c>
      <c r="P15" s="80">
        <f t="shared" si="6"/>
        <v>2.2323659924956893</v>
      </c>
      <c r="Q15" s="80">
        <f t="shared" si="6"/>
        <v>2.4666497592910224</v>
      </c>
      <c r="R15" s="80">
        <f t="shared" si="6"/>
        <v>1.7848040240596217</v>
      </c>
      <c r="S15" s="80">
        <f t="shared" si="6"/>
        <v>1.7367448071034688</v>
      </c>
      <c r="T15" s="80">
        <f t="shared" si="6"/>
        <v>1.1540810714376755</v>
      </c>
      <c r="U15" s="80">
        <f t="shared" si="6"/>
        <v>0.58757087661476581</v>
      </c>
      <c r="V15" s="80">
        <f t="shared" si="6"/>
        <v>0.99088951691073635</v>
      </c>
      <c r="W15" s="80">
        <f t="shared" si="6"/>
        <v>0.81164720679572033</v>
      </c>
      <c r="X15" s="80">
        <f t="shared" si="6"/>
        <v>1.1396818982690156</v>
      </c>
      <c r="Y15" s="80">
        <f t="shared" si="6"/>
        <v>2.1701687963666223</v>
      </c>
      <c r="Z15" s="79">
        <v>1.28</v>
      </c>
      <c r="AA15" s="79">
        <v>0.94</v>
      </c>
      <c r="AB15" s="79">
        <v>0.44</v>
      </c>
      <c r="AC15" s="79">
        <v>0.06</v>
      </c>
      <c r="AD15" s="80">
        <f t="shared" ref="AD15:AK15" si="7">AD14/Z14-1</f>
        <v>0.39724972694229077</v>
      </c>
      <c r="AE15" s="80">
        <f t="shared" si="7"/>
        <v>0.12945891420972155</v>
      </c>
      <c r="AF15" s="80">
        <f t="shared" si="7"/>
        <v>0.11207604793627546</v>
      </c>
      <c r="AG15" s="80">
        <f t="shared" si="7"/>
        <v>4.8479020178429533E-2</v>
      </c>
      <c r="AH15" s="80">
        <f t="shared" si="7"/>
        <v>-8.8005382200294635E-2</v>
      </c>
      <c r="AI15" s="80">
        <f t="shared" si="7"/>
        <v>8.8720594007064557E-2</v>
      </c>
      <c r="AJ15" s="80">
        <f t="shared" si="7"/>
        <v>9.9472025374901962E-2</v>
      </c>
      <c r="AK15" s="80">
        <f t="shared" si="7"/>
        <v>-1.295999237647516E-2</v>
      </c>
      <c r="AL15" s="79">
        <v>-0.11</v>
      </c>
      <c r="AM15" s="79">
        <v>-0.18</v>
      </c>
      <c r="AN15" s="79">
        <v>-0.01</v>
      </c>
      <c r="AO15" s="79"/>
      <c r="AP15" s="30"/>
      <c r="AQ15" s="30"/>
      <c r="AR15" s="121">
        <f t="shared" ref="AR15:AX15" si="8">AR14/AQ14-1</f>
        <v>0.63201589402311131</v>
      </c>
      <c r="AS15" s="121">
        <f t="shared" si="8"/>
        <v>1.4239624817371781</v>
      </c>
      <c r="AT15" s="121">
        <f t="shared" si="8"/>
        <v>1.9981740299853916</v>
      </c>
      <c r="AU15" s="121">
        <f t="shared" si="8"/>
        <v>1.0192921830985711</v>
      </c>
      <c r="AV15" s="121">
        <f t="shared" si="8"/>
        <v>1.4039895245460974</v>
      </c>
      <c r="AW15" s="121">
        <f t="shared" si="8"/>
        <v>0.43038900137249581</v>
      </c>
      <c r="AX15" s="121">
        <f t="shared" si="8"/>
        <v>3.7995357860805878E-2</v>
      </c>
      <c r="AY15" s="123">
        <v>-0.02</v>
      </c>
      <c r="AZ15" s="123"/>
      <c r="BA15" s="123"/>
      <c r="BB15" s="123"/>
    </row>
    <row r="16" spans="1:54" ht="12.9" x14ac:dyDescent="0.5">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7"/>
      <c r="AS16" s="7"/>
      <c r="AT16" s="7"/>
      <c r="AU16" s="7"/>
      <c r="AV16" s="7"/>
      <c r="AW16" s="2"/>
      <c r="AX16" s="2"/>
      <c r="AY16" s="2"/>
      <c r="AZ16" s="2"/>
      <c r="BA16" s="2"/>
      <c r="BB16" s="2"/>
    </row>
    <row r="17" spans="1:54" ht="12.9" x14ac:dyDescent="0.5">
      <c r="A17" s="2" t="s">
        <v>196</v>
      </c>
      <c r="B17" s="2"/>
      <c r="C17" s="12">
        <f t="shared" ref="C17:AM17" si="9">C13-C14</f>
        <v>33.408432999999995</v>
      </c>
      <c r="D17" s="12">
        <f t="shared" si="9"/>
        <v>29.582865000000002</v>
      </c>
      <c r="E17" s="12">
        <f t="shared" si="9"/>
        <v>35.387587000000003</v>
      </c>
      <c r="F17" s="12">
        <f t="shared" si="9"/>
        <v>35.128399000000002</v>
      </c>
      <c r="G17" s="12">
        <f t="shared" si="9"/>
        <v>34.008732999999999</v>
      </c>
      <c r="H17" s="12">
        <f t="shared" si="9"/>
        <v>36.148367999999998</v>
      </c>
      <c r="I17" s="12">
        <f t="shared" si="9"/>
        <v>40.697555999999999</v>
      </c>
      <c r="J17" s="12">
        <f t="shared" si="9"/>
        <v>43.256461999999999</v>
      </c>
      <c r="K17" s="12">
        <f t="shared" si="9"/>
        <v>41.124876</v>
      </c>
      <c r="L17" s="12">
        <f t="shared" si="9"/>
        <v>49.891094999999993</v>
      </c>
      <c r="M17" s="12">
        <f t="shared" si="9"/>
        <v>54.096613000000005</v>
      </c>
      <c r="N17" s="12">
        <f t="shared" si="9"/>
        <v>60.148085999999999</v>
      </c>
      <c r="O17" s="12">
        <f t="shared" si="9"/>
        <v>55.573049000000005</v>
      </c>
      <c r="P17" s="12">
        <f t="shared" si="9"/>
        <v>65.838837999999996</v>
      </c>
      <c r="Q17" s="12">
        <f t="shared" si="9"/>
        <v>73.224401999999998</v>
      </c>
      <c r="R17" s="12">
        <f t="shared" si="9"/>
        <v>72.874201999999997</v>
      </c>
      <c r="S17" s="12">
        <f t="shared" si="9"/>
        <v>74.479929000000013</v>
      </c>
      <c r="T17" s="12">
        <f t="shared" si="9"/>
        <v>86.754808000000011</v>
      </c>
      <c r="U17" s="12">
        <f t="shared" si="9"/>
        <v>81.046695000000014</v>
      </c>
      <c r="V17" s="12">
        <f t="shared" si="9"/>
        <v>92.792411000000001</v>
      </c>
      <c r="W17" s="12">
        <f t="shared" si="9"/>
        <v>86.980999999999995</v>
      </c>
      <c r="X17" s="12">
        <f t="shared" si="9"/>
        <v>88.743652999999995</v>
      </c>
      <c r="Y17" s="12">
        <f t="shared" si="9"/>
        <v>131.48300000000003</v>
      </c>
      <c r="Z17" s="12">
        <f t="shared" si="9"/>
        <v>105.18000000000004</v>
      </c>
      <c r="AA17" s="12">
        <f t="shared" si="9"/>
        <v>128.38599999999997</v>
      </c>
      <c r="AB17" s="12">
        <f t="shared" si="9"/>
        <v>149.91399999999999</v>
      </c>
      <c r="AC17" s="12">
        <f t="shared" si="9"/>
        <v>168.86599999999999</v>
      </c>
      <c r="AD17" s="12">
        <f t="shared" si="9"/>
        <v>172.63800000000003</v>
      </c>
      <c r="AE17" s="12">
        <f t="shared" si="9"/>
        <v>251.86800000000002</v>
      </c>
      <c r="AF17" s="12">
        <f t="shared" si="9"/>
        <v>281.762</v>
      </c>
      <c r="AG17" s="12">
        <f t="shared" si="9"/>
        <v>233.98600000000002</v>
      </c>
      <c r="AH17" s="36">
        <f t="shared" si="9"/>
        <v>255.05400000000003</v>
      </c>
      <c r="AI17" s="36">
        <f t="shared" si="9"/>
        <v>224.16400000000004</v>
      </c>
      <c r="AJ17" s="36">
        <f t="shared" si="9"/>
        <v>263.767</v>
      </c>
      <c r="AK17" s="36">
        <f t="shared" si="9"/>
        <v>230.79299999999998</v>
      </c>
      <c r="AL17" s="36">
        <f t="shared" si="9"/>
        <v>192.339</v>
      </c>
      <c r="AM17" s="36">
        <f t="shared" si="9"/>
        <v>187.83600000000001</v>
      </c>
      <c r="AN17" s="36">
        <v>194.13100000000003</v>
      </c>
      <c r="AO17" s="36"/>
      <c r="AP17" s="12"/>
      <c r="AQ17" s="12">
        <f>SUMIFS($C17:$T17,$C$7:$T$7,AQ$7)</f>
        <v>133.507284</v>
      </c>
      <c r="AR17" s="12">
        <f>SUMIFS($C17:$T17,$C$7:$T$7,AR$7)</f>
        <v>154.111119</v>
      </c>
      <c r="AS17" s="12">
        <f>SUMIFS($C17:$T17,$C$7:$T$7,AS$7)</f>
        <v>205.26067</v>
      </c>
      <c r="AT17" s="12">
        <f>SUMIFS($C17:$T17,$C$7:$T$7,AT$7)</f>
        <v>267.510491</v>
      </c>
      <c r="AU17" s="12">
        <f>SUMIFS($C17:$V17,$C$7:$V$7,AU$7)</f>
        <v>335.07384300000007</v>
      </c>
      <c r="AV17" s="12">
        <f>SUMIFS($C17:$AD17,$C$7:$AD$7,AV$7)</f>
        <v>412.38765300000011</v>
      </c>
      <c r="AW17" s="12">
        <f>SUMIFS($C17:$AD17,$C$7:$AD$7,AW$7)</f>
        <v>619.80399999999997</v>
      </c>
      <c r="AX17" s="12">
        <f>SUMIFS($C17:$AH17,$C$7:$AH$7,AX$7)</f>
        <v>1022.6700000000001</v>
      </c>
      <c r="AY17" s="12">
        <f>SUMIFS($C17:$AL17,$C$7:$AL$7,AY$7)</f>
        <v>911.0630000000001</v>
      </c>
      <c r="AZ17" s="12"/>
      <c r="BA17" s="12"/>
      <c r="BB17" s="12"/>
    </row>
    <row r="18" spans="1:54" ht="12.9" x14ac:dyDescent="0.5">
      <c r="A18" s="56" t="s">
        <v>195</v>
      </c>
      <c r="C18" s="56"/>
      <c r="D18" s="56"/>
      <c r="E18" s="56"/>
      <c r="F18" s="56"/>
      <c r="G18" s="80">
        <f t="shared" ref="G18:AF18" si="10">G17/C17-1</f>
        <v>1.7968517110634963E-2</v>
      </c>
      <c r="H18" s="80">
        <f t="shared" si="10"/>
        <v>0.22193600924048407</v>
      </c>
      <c r="I18" s="80">
        <f t="shared" si="10"/>
        <v>0.15005173989399156</v>
      </c>
      <c r="J18" s="80">
        <f t="shared" si="10"/>
        <v>0.2313815383388238</v>
      </c>
      <c r="K18" s="80">
        <f t="shared" si="10"/>
        <v>0.20924457844401312</v>
      </c>
      <c r="L18" s="80">
        <f t="shared" si="10"/>
        <v>0.38017558635012216</v>
      </c>
      <c r="M18" s="80">
        <f t="shared" si="10"/>
        <v>0.32923492997957937</v>
      </c>
      <c r="N18" s="80">
        <f t="shared" si="10"/>
        <v>0.39049943566813217</v>
      </c>
      <c r="O18" s="80">
        <f t="shared" si="10"/>
        <v>0.35132441493562205</v>
      </c>
      <c r="P18" s="80">
        <f t="shared" si="10"/>
        <v>0.31965109204358022</v>
      </c>
      <c r="Q18" s="80">
        <f t="shared" si="10"/>
        <v>0.35358570415489776</v>
      </c>
      <c r="R18" s="80">
        <f t="shared" si="10"/>
        <v>0.21157973339334513</v>
      </c>
      <c r="S18" s="80">
        <f t="shared" si="10"/>
        <v>0.34021671188132951</v>
      </c>
      <c r="T18" s="80">
        <f t="shared" si="10"/>
        <v>0.3176843734696535</v>
      </c>
      <c r="U18" s="80">
        <f t="shared" si="10"/>
        <v>0.10682631453924363</v>
      </c>
      <c r="V18" s="80">
        <f t="shared" si="10"/>
        <v>0.27332318506897679</v>
      </c>
      <c r="W18" s="80">
        <f t="shared" si="10"/>
        <v>0.16784482971244485</v>
      </c>
      <c r="X18" s="80">
        <f t="shared" si="10"/>
        <v>2.2924896565962971E-2</v>
      </c>
      <c r="Y18" s="80">
        <f t="shared" si="10"/>
        <v>0.62231168093899458</v>
      </c>
      <c r="Z18" s="80">
        <f t="shared" si="10"/>
        <v>0.13349786762195492</v>
      </c>
      <c r="AA18" s="80">
        <f t="shared" si="10"/>
        <v>0.47602349938492283</v>
      </c>
      <c r="AB18" s="80">
        <f t="shared" si="10"/>
        <v>0.68929264158192805</v>
      </c>
      <c r="AC18" s="80">
        <f t="shared" si="10"/>
        <v>0.28431812477658669</v>
      </c>
      <c r="AD18" s="80">
        <f t="shared" si="10"/>
        <v>0.64135767256132326</v>
      </c>
      <c r="AE18" s="80">
        <f t="shared" si="10"/>
        <v>0.96180268876668862</v>
      </c>
      <c r="AF18" s="80">
        <f t="shared" si="10"/>
        <v>0.87949090812065611</v>
      </c>
      <c r="AG18" s="79">
        <v>0.38</v>
      </c>
      <c r="AH18" s="80">
        <f>AH17/AD17-1</f>
        <v>0.47739199944392308</v>
      </c>
      <c r="AI18" s="80">
        <f>AI17/AE17-1</f>
        <v>-0.10999412390617302</v>
      </c>
      <c r="AJ18" s="80">
        <f>AJ17/AF17-1</f>
        <v>-6.3865957794166706E-2</v>
      </c>
      <c r="AK18" s="80">
        <f>AK17/AG17-1</f>
        <v>-1.3646115579564744E-2</v>
      </c>
      <c r="AL18" s="79">
        <v>0.03</v>
      </c>
      <c r="AM18" s="79">
        <v>0.02</v>
      </c>
      <c r="AN18" s="79">
        <v>-0.12</v>
      </c>
      <c r="AO18" s="79"/>
      <c r="AP18" s="30"/>
      <c r="AQ18" s="30"/>
      <c r="AR18" s="121">
        <f t="shared" ref="AR18:AX18" si="11">AR17/AQ17-1</f>
        <v>0.15432742231502528</v>
      </c>
      <c r="AS18" s="121">
        <f t="shared" si="11"/>
        <v>0.33190045813631408</v>
      </c>
      <c r="AT18" s="121">
        <f t="shared" si="11"/>
        <v>0.30327203453053131</v>
      </c>
      <c r="AU18" s="121">
        <f t="shared" si="11"/>
        <v>0.25256337329962908</v>
      </c>
      <c r="AV18" s="121">
        <f t="shared" si="11"/>
        <v>0.23073663198472949</v>
      </c>
      <c r="AW18" s="121">
        <f t="shared" si="11"/>
        <v>0.50296449345926408</v>
      </c>
      <c r="AX18" s="121">
        <f t="shared" si="11"/>
        <v>0.64998935147240111</v>
      </c>
      <c r="AY18" s="123">
        <v>-0.02</v>
      </c>
      <c r="AZ18" s="123"/>
      <c r="BA18" s="123"/>
      <c r="BB18" s="123"/>
    </row>
    <row r="19" spans="1:54" ht="12.9" x14ac:dyDescent="0.5">
      <c r="A19" s="2" t="s">
        <v>197</v>
      </c>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7"/>
      <c r="AS19" s="7"/>
      <c r="AT19" s="7"/>
      <c r="AU19" s="7"/>
      <c r="AV19" s="7"/>
      <c r="AW19" s="12">
        <v>588.20699999999999</v>
      </c>
      <c r="AX19" s="12">
        <v>725.70399999999995</v>
      </c>
      <c r="AY19" s="12">
        <v>706.173</v>
      </c>
      <c r="AZ19" s="12"/>
      <c r="BA19" s="12"/>
      <c r="BB19" s="12"/>
    </row>
    <row r="20" spans="1:54" ht="12.9" x14ac:dyDescent="0.5">
      <c r="A20" s="56" t="s">
        <v>195</v>
      </c>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7"/>
      <c r="AS20" s="7"/>
      <c r="AT20" s="7"/>
      <c r="AU20" s="7"/>
      <c r="AV20" s="7"/>
      <c r="AW20" s="2"/>
      <c r="AX20" s="121">
        <f>AX19/AW19-1</f>
        <v>0.23375614367051045</v>
      </c>
      <c r="AY20" s="121">
        <f>AY19/AX19-1</f>
        <v>-2.6913176722189736E-2</v>
      </c>
      <c r="AZ20" s="121"/>
      <c r="BA20" s="121"/>
      <c r="BB20" s="121"/>
    </row>
    <row r="22" spans="1:54" ht="12.9" x14ac:dyDescent="0.5">
      <c r="A22" s="13" t="s">
        <v>198</v>
      </c>
      <c r="B22" s="13"/>
      <c r="C22" s="13"/>
      <c r="D22" s="13"/>
      <c r="E22" s="13"/>
      <c r="F22" s="13"/>
      <c r="G22" s="13"/>
      <c r="H22" s="13"/>
      <c r="I22" s="13"/>
      <c r="J22" s="13"/>
      <c r="K22" s="13"/>
      <c r="L22" s="13"/>
      <c r="M22" s="13"/>
      <c r="N22" s="13"/>
      <c r="O22" s="124">
        <f>'[23]Pro Forma ex-Caviar'!C25/1000</f>
        <v>4.165</v>
      </c>
      <c r="P22" s="124">
        <f>'[23]Pro Forma ex-Caviar'!D25/1000</f>
        <v>3.883</v>
      </c>
      <c r="Q22" s="124">
        <f>'[23]Pro Forma ex-Caviar'!E25/1000</f>
        <v>3.4279999999999999</v>
      </c>
      <c r="R22" s="124">
        <f>'[23]Pro Forma ex-Caviar'!F25/1000</f>
        <v>4.5330000000000004</v>
      </c>
      <c r="S22" s="124">
        <f>'[23]Pro Forma ex-Caviar'!G25/1000</f>
        <v>5.2290000000000001</v>
      </c>
      <c r="T22" s="124">
        <f>'[23]Pro Forma ex-Caviar'!H25/1000</f>
        <v>5.593</v>
      </c>
      <c r="U22" s="124">
        <f>'[23]Pro Forma ex-Caviar'!I25/1000</f>
        <v>6.2050000000000001</v>
      </c>
      <c r="V22" s="124">
        <f>'[23]Pro Forma ex-Caviar'!J25/1000</f>
        <v>1.893</v>
      </c>
      <c r="W22" s="124"/>
      <c r="X22" s="124"/>
      <c r="Y22" s="124"/>
      <c r="Z22" s="124"/>
      <c r="AA22" s="124"/>
      <c r="AB22" s="124"/>
      <c r="AC22" s="124"/>
      <c r="AD22" s="124"/>
      <c r="AE22" s="124"/>
      <c r="AF22" s="124"/>
      <c r="AG22" s="124"/>
      <c r="AH22" s="124"/>
      <c r="AI22" s="124"/>
      <c r="AJ22" s="124"/>
      <c r="AK22" s="124"/>
      <c r="AL22" s="124"/>
      <c r="AM22" s="124"/>
      <c r="AN22" s="124"/>
      <c r="AO22" s="124"/>
      <c r="AP22" s="13"/>
      <c r="AQ22" s="13"/>
      <c r="AR22" s="13"/>
      <c r="AS22" s="13"/>
      <c r="AT22" s="124"/>
      <c r="AU22" s="124"/>
      <c r="AV22" s="124"/>
      <c r="AW22" s="124"/>
      <c r="AX22" s="124"/>
      <c r="AY22" s="124"/>
      <c r="AZ22" s="124"/>
      <c r="BA22" s="124"/>
      <c r="BB22" s="124"/>
    </row>
    <row r="24" spans="1:54" ht="12.9" x14ac:dyDescent="0.5">
      <c r="A24" s="2" t="s">
        <v>199</v>
      </c>
      <c r="O24" s="12">
        <f t="shared" ref="O24:AM24" si="12">O17-O22</f>
        <v>51.408049000000005</v>
      </c>
      <c r="P24" s="12">
        <f t="shared" si="12"/>
        <v>61.955837999999993</v>
      </c>
      <c r="Q24" s="12">
        <f t="shared" si="12"/>
        <v>69.796402</v>
      </c>
      <c r="R24" s="12">
        <f t="shared" si="12"/>
        <v>68.341201999999996</v>
      </c>
      <c r="S24" s="12">
        <f t="shared" si="12"/>
        <v>69.250929000000014</v>
      </c>
      <c r="T24" s="12">
        <f t="shared" si="12"/>
        <v>81.161808000000008</v>
      </c>
      <c r="U24" s="12">
        <f t="shared" si="12"/>
        <v>74.841695000000016</v>
      </c>
      <c r="V24" s="12">
        <f t="shared" si="12"/>
        <v>90.899411000000001</v>
      </c>
      <c r="W24" s="12">
        <f t="shared" si="12"/>
        <v>86.980999999999995</v>
      </c>
      <c r="X24" s="12">
        <f t="shared" si="12"/>
        <v>88.743652999999995</v>
      </c>
      <c r="Y24" s="12">
        <f t="shared" si="12"/>
        <v>131.48300000000003</v>
      </c>
      <c r="Z24" s="12">
        <f t="shared" si="12"/>
        <v>105.18000000000004</v>
      </c>
      <c r="AA24" s="12">
        <f t="shared" si="12"/>
        <v>128.38599999999997</v>
      </c>
      <c r="AB24" s="12">
        <f t="shared" si="12"/>
        <v>149.91399999999999</v>
      </c>
      <c r="AC24" s="12">
        <f t="shared" si="12"/>
        <v>168.86599999999999</v>
      </c>
      <c r="AD24" s="12">
        <f t="shared" si="12"/>
        <v>172.63800000000003</v>
      </c>
      <c r="AE24" s="12">
        <f t="shared" si="12"/>
        <v>251.86800000000002</v>
      </c>
      <c r="AF24" s="12">
        <f t="shared" si="12"/>
        <v>281.762</v>
      </c>
      <c r="AG24" s="12">
        <f t="shared" si="12"/>
        <v>233.98600000000002</v>
      </c>
      <c r="AH24" s="12">
        <f t="shared" si="12"/>
        <v>255.05400000000003</v>
      </c>
      <c r="AI24" s="12">
        <f t="shared" si="12"/>
        <v>224.16400000000004</v>
      </c>
      <c r="AJ24" s="12">
        <f t="shared" si="12"/>
        <v>263.767</v>
      </c>
      <c r="AK24" s="12">
        <f t="shared" si="12"/>
        <v>230.79299999999998</v>
      </c>
      <c r="AL24" s="12">
        <f t="shared" si="12"/>
        <v>192.339</v>
      </c>
      <c r="AM24" s="12">
        <f t="shared" si="12"/>
        <v>187.83600000000001</v>
      </c>
      <c r="AN24" s="12">
        <v>194.13100000000003</v>
      </c>
      <c r="AO24" s="12"/>
      <c r="AP24" s="12"/>
      <c r="AQ24" s="12"/>
      <c r="AR24" s="12"/>
      <c r="AS24" s="12"/>
      <c r="AT24" s="12">
        <f>SUMIFS($C24:$T24,$C$7:$T$7,AT$7)</f>
        <v>251.50149099999999</v>
      </c>
      <c r="AU24" s="12">
        <f>SUMIFS($C24:$V24,$C$7:$V$7,AU$7)</f>
        <v>316.15384300000005</v>
      </c>
      <c r="AV24" s="12">
        <f>SUMIFS($C24:$AD24,$C$7:$AD$7,AV$7)</f>
        <v>412.38765300000011</v>
      </c>
      <c r="AW24" s="12">
        <f>SUMIFS($C24:$AD24,$C$7:$AD$7,AW$7)</f>
        <v>619.80399999999997</v>
      </c>
      <c r="AX24" s="12">
        <f>SUMIFS($C24:$AH24,$C$7:$AH$7,AX$7)</f>
        <v>1022.6700000000001</v>
      </c>
      <c r="AY24" s="12">
        <f>SUMIFS($C24:$AL24,$C$7:$AL$7,AY$7)</f>
        <v>911.0630000000001</v>
      </c>
      <c r="AZ24" s="12"/>
      <c r="BA24" s="12"/>
      <c r="BB24" s="12"/>
    </row>
    <row r="25" spans="1:54" ht="12.9" x14ac:dyDescent="0.5">
      <c r="A25" s="56" t="s">
        <v>195</v>
      </c>
      <c r="S25" s="80">
        <f t="shared" ref="S25:Y25" si="13">S24/O24-1</f>
        <v>0.34708339155216739</v>
      </c>
      <c r="T25" s="80">
        <f t="shared" si="13"/>
        <v>0.30999451577105641</v>
      </c>
      <c r="U25" s="80">
        <f t="shared" si="13"/>
        <v>7.2285860809845337E-2</v>
      </c>
      <c r="V25" s="80">
        <f t="shared" si="13"/>
        <v>0.33008212234838963</v>
      </c>
      <c r="W25" s="80">
        <f t="shared" si="13"/>
        <v>0.25602647150047586</v>
      </c>
      <c r="X25" s="80">
        <f t="shared" si="13"/>
        <v>9.3416413296263601E-2</v>
      </c>
      <c r="Y25" s="80">
        <f t="shared" si="13"/>
        <v>0.75681483429791374</v>
      </c>
      <c r="Z25" s="79">
        <v>0.21</v>
      </c>
      <c r="AA25" s="79">
        <v>0.59</v>
      </c>
      <c r="AB25" s="79">
        <v>0.81</v>
      </c>
      <c r="AC25" s="79">
        <v>0.38</v>
      </c>
      <c r="AD25" s="80">
        <f>AD24/Z24-1</f>
        <v>0.64135767256132326</v>
      </c>
      <c r="AE25" s="80">
        <f>AE24/AA24-1</f>
        <v>0.96180268876668862</v>
      </c>
      <c r="AF25" s="80">
        <f>AF24/AB24-1</f>
        <v>0.87949090812065611</v>
      </c>
      <c r="AG25" s="79">
        <v>0.38</v>
      </c>
      <c r="AH25" s="80">
        <f>AH24/AD24-1</f>
        <v>0.47739199944392308</v>
      </c>
      <c r="AI25" s="80">
        <f>AI24/AE24-1</f>
        <v>-0.10999412390617302</v>
      </c>
      <c r="AJ25" s="80">
        <f>AJ24/AF24-1</f>
        <v>-6.3865957794166706E-2</v>
      </c>
      <c r="AK25" s="80">
        <f>AK24/AG24-1</f>
        <v>-1.3646115579564744E-2</v>
      </c>
      <c r="AL25" s="79">
        <v>0.03</v>
      </c>
      <c r="AM25" s="79">
        <v>0.02</v>
      </c>
      <c r="AN25" s="79">
        <v>-0.12</v>
      </c>
      <c r="AO25" s="79"/>
      <c r="AP25" s="30"/>
      <c r="AQ25" s="30"/>
      <c r="AR25" s="30"/>
      <c r="AS25" s="30"/>
      <c r="AT25" s="30"/>
      <c r="AU25" s="121">
        <f>AU24/AT24-1</f>
        <v>0.25706548196964785</v>
      </c>
      <c r="AV25" s="121">
        <f>AV24/AU24-1</f>
        <v>0.30438918308514773</v>
      </c>
      <c r="AW25" s="121">
        <f>AW24/AV24-1</f>
        <v>0.50296449345926408</v>
      </c>
      <c r="AX25" s="121">
        <f>AX24/AW24-1</f>
        <v>0.64998935147240111</v>
      </c>
      <c r="AY25" s="123">
        <v>-0.02</v>
      </c>
      <c r="AZ25" s="123"/>
      <c r="BA25" s="123"/>
      <c r="BB25" s="123"/>
    </row>
    <row r="26" spans="1:54" ht="12.9" x14ac:dyDescent="0.5">
      <c r="A26" s="56"/>
      <c r="S26" s="80"/>
      <c r="T26" s="80"/>
      <c r="U26" s="80"/>
      <c r="V26" s="80"/>
      <c r="W26" s="80"/>
      <c r="X26" s="80"/>
      <c r="Y26" s="80"/>
      <c r="Z26" s="79"/>
      <c r="AA26" s="79"/>
      <c r="AB26" s="79"/>
      <c r="AC26" s="79"/>
      <c r="AD26" s="80"/>
      <c r="AE26" s="80"/>
      <c r="AF26" s="80"/>
      <c r="AG26" s="79"/>
      <c r="AH26" s="80"/>
      <c r="AI26" s="80"/>
      <c r="AJ26" s="80"/>
      <c r="AK26" s="80"/>
      <c r="AL26" s="80"/>
      <c r="AM26" s="80"/>
      <c r="AN26" s="80"/>
      <c r="AO26" s="80"/>
      <c r="AP26" s="30"/>
      <c r="AQ26" s="30"/>
      <c r="AR26" s="30"/>
      <c r="AS26" s="30"/>
      <c r="AT26" s="30"/>
      <c r="AU26" s="121"/>
      <c r="AV26" s="121"/>
      <c r="AW26" s="121"/>
      <c r="AX26" s="121"/>
      <c r="AY26" s="121"/>
      <c r="AZ26" s="121"/>
      <c r="BA26" s="121"/>
      <c r="BB26" s="121"/>
    </row>
    <row r="27" spans="1:54" ht="12.9" x14ac:dyDescent="0.5">
      <c r="A27" s="49" t="s">
        <v>200</v>
      </c>
      <c r="B27" s="2"/>
      <c r="AD27" s="16"/>
      <c r="AE27" s="16"/>
      <c r="AF27" s="16"/>
      <c r="AG27" s="16"/>
      <c r="AH27" s="16"/>
      <c r="AI27" s="16"/>
      <c r="AJ27" s="16"/>
      <c r="AK27" s="16"/>
      <c r="AL27" s="16"/>
      <c r="AM27" s="16"/>
      <c r="AN27" s="16"/>
      <c r="AO27" s="16"/>
      <c r="AP27" s="28"/>
      <c r="AQ27" s="28"/>
      <c r="AR27" s="28"/>
      <c r="AS27" s="28"/>
      <c r="AT27" s="28"/>
      <c r="AU27" s="28"/>
      <c r="AV27" s="28"/>
      <c r="AW27" s="28"/>
      <c r="AX27" s="28"/>
      <c r="AY27" s="28"/>
      <c r="AZ27" s="28"/>
      <c r="BA27" s="28"/>
      <c r="BB27" s="28"/>
    </row>
    <row r="28" spans="1:54" ht="12.9" x14ac:dyDescent="0.5">
      <c r="A28" s="2" t="s">
        <v>201</v>
      </c>
      <c r="B28" s="2"/>
      <c r="AD28" s="16"/>
      <c r="AE28" s="16"/>
      <c r="AF28" s="38">
        <v>-114.626</v>
      </c>
      <c r="AG28" s="38">
        <v>15.737</v>
      </c>
      <c r="AH28" s="38">
        <v>45.369</v>
      </c>
      <c r="AI28" s="38">
        <v>294.40100000000001</v>
      </c>
      <c r="AJ28" s="38">
        <v>113.318</v>
      </c>
      <c r="AK28" s="38">
        <v>491.16500000000002</v>
      </c>
      <c r="AL28" s="38">
        <f>-797923/1000</f>
        <v>-797.923</v>
      </c>
      <c r="AM28" s="38">
        <v>489.39499999999998</v>
      </c>
      <c r="AN28" s="38">
        <v>519.39200000000005</v>
      </c>
      <c r="AO28" s="38"/>
      <c r="AP28" s="28"/>
      <c r="AQ28" s="28"/>
      <c r="AR28" s="28"/>
      <c r="AS28" s="28"/>
      <c r="AT28" s="28"/>
      <c r="AU28" s="28"/>
      <c r="AV28" s="28"/>
      <c r="AW28" s="28"/>
      <c r="AX28" s="38">
        <v>175.90299999999999</v>
      </c>
      <c r="AY28" s="38">
        <v>100.961</v>
      </c>
      <c r="AZ28" s="38"/>
      <c r="BA28" s="36">
        <f>SUMIFS($C28:$AM28,$C$5:$AM$5,"&lt;="&amp;BA$5,$C$5:$AM$5,"&gt;"&amp;EOMONTH(BA$5,-12))</f>
        <v>240.881</v>
      </c>
      <c r="BB28" s="36">
        <f>SUMIFS($C28:$AM28,$C$5:$AM$5,"&lt;="&amp;BB$5,$C$5:$AM$5,"&gt;"&amp;EOMONTH(BB$5,-12))</f>
        <v>295.95500000000004</v>
      </c>
    </row>
    <row r="29" spans="1:54" ht="12.9" x14ac:dyDescent="0.5">
      <c r="A29" s="2" t="s">
        <v>202</v>
      </c>
      <c r="B29" s="2"/>
      <c r="AD29" s="16"/>
      <c r="AE29" s="16"/>
      <c r="AF29" s="29"/>
      <c r="AG29" s="29"/>
      <c r="AH29" s="29"/>
      <c r="AI29" s="29"/>
      <c r="AJ29" s="29"/>
      <c r="AK29" s="29"/>
      <c r="AL29" s="29"/>
      <c r="AM29" s="29"/>
      <c r="AN29" s="29"/>
      <c r="AO29" s="29"/>
      <c r="AP29" s="28"/>
      <c r="AQ29" s="28"/>
      <c r="AR29" s="28"/>
      <c r="AS29" s="28"/>
      <c r="AT29" s="28"/>
      <c r="AU29" s="28"/>
      <c r="AV29" s="28"/>
      <c r="AW29" s="28"/>
      <c r="AX29" s="29"/>
      <c r="AY29" s="29"/>
      <c r="AZ29" s="29"/>
      <c r="BA29" s="32"/>
      <c r="BB29" s="32"/>
    </row>
    <row r="30" spans="1:54" ht="12.9" x14ac:dyDescent="0.5">
      <c r="A30" s="2" t="s">
        <v>203</v>
      </c>
      <c r="B30" s="2"/>
      <c r="AD30" s="16"/>
      <c r="AE30" s="16"/>
      <c r="AF30" s="125">
        <v>-5597.5280000000002</v>
      </c>
      <c r="AG30" s="125">
        <v>-4742.0950000000003</v>
      </c>
      <c r="AH30" s="125">
        <v>-6075.78</v>
      </c>
      <c r="AI30" s="125">
        <v>-4911.509</v>
      </c>
      <c r="AJ30" s="125">
        <v>-5634.9920000000002</v>
      </c>
      <c r="AK30" s="125">
        <v>-5855.1719999999996</v>
      </c>
      <c r="AL30" s="125">
        <f>-7567114/1000</f>
        <v>-7567.1139999999996</v>
      </c>
      <c r="AM30" s="125">
        <v>-6095.1040000000003</v>
      </c>
      <c r="AN30" s="125">
        <v>-6771.8</v>
      </c>
      <c r="AO30" s="125"/>
      <c r="AP30" s="28"/>
      <c r="AQ30" s="28"/>
      <c r="AR30" s="28"/>
      <c r="AS30" s="28"/>
      <c r="AT30" s="28"/>
      <c r="AU30" s="28"/>
      <c r="AV30" s="28"/>
      <c r="AW30" s="28"/>
      <c r="AX30" s="125">
        <v>-18361.870999999999</v>
      </c>
      <c r="AY30" s="125">
        <v>-23968.787</v>
      </c>
      <c r="AZ30" s="125"/>
      <c r="BA30" s="126">
        <f t="shared" ref="BA30:BB32" si="14">SUMIFS($C30:$AM30,$C$5:$AM$5,"&lt;="&amp;BA$5,$C$5:$AM$5,"&gt;"&amp;EOMONTH(BA$5,-12))</f>
        <v>-21326.911999999997</v>
      </c>
      <c r="BB30" s="126">
        <f t="shared" si="14"/>
        <v>-25152.381999999998</v>
      </c>
    </row>
    <row r="31" spans="1:54" ht="12.9" x14ac:dyDescent="0.5">
      <c r="A31" s="2" t="s">
        <v>204</v>
      </c>
      <c r="B31" s="2"/>
      <c r="AD31" s="16"/>
      <c r="AE31" s="16"/>
      <c r="AF31" s="125">
        <v>5744.8590000000004</v>
      </c>
      <c r="AG31" s="125">
        <v>4850.5789999999997</v>
      </c>
      <c r="AH31" s="125">
        <v>5653.4780000000001</v>
      </c>
      <c r="AI31" s="125">
        <v>5339.8</v>
      </c>
      <c r="AJ31" s="125">
        <v>5594.1469999999999</v>
      </c>
      <c r="AK31" s="125">
        <v>5880.1419999999998</v>
      </c>
      <c r="AL31" s="125">
        <f>7427562/1000</f>
        <v>7427.5619999999999</v>
      </c>
      <c r="AM31" s="125">
        <v>6824.5959999999995</v>
      </c>
      <c r="AN31" s="125">
        <v>6903.0069999999996</v>
      </c>
      <c r="AO31" s="125"/>
      <c r="AP31" s="28"/>
      <c r="AQ31" s="28"/>
      <c r="AR31" s="28"/>
      <c r="AS31" s="28"/>
      <c r="AT31" s="28"/>
      <c r="AU31" s="28"/>
      <c r="AV31" s="28"/>
      <c r="AW31" s="28"/>
      <c r="AX31" s="125">
        <v>18192.47</v>
      </c>
      <c r="AY31" s="125">
        <v>24241.651000000002</v>
      </c>
      <c r="AZ31" s="125"/>
      <c r="BA31" s="126">
        <f t="shared" si="14"/>
        <v>21588.716</v>
      </c>
      <c r="BB31" s="126">
        <f t="shared" si="14"/>
        <v>25726.447</v>
      </c>
    </row>
    <row r="32" spans="1:54" ht="12.9" x14ac:dyDescent="0.5">
      <c r="A32" s="2" t="s">
        <v>205</v>
      </c>
      <c r="B32" s="2"/>
      <c r="AD32" s="16"/>
      <c r="AE32" s="16"/>
      <c r="AF32" s="125">
        <v>-44.232999999999997</v>
      </c>
      <c r="AG32" s="125">
        <v>-36.289000000000001</v>
      </c>
      <c r="AH32" s="125">
        <v>-49.106000000000002</v>
      </c>
      <c r="AI32" s="125">
        <v>-32.253</v>
      </c>
      <c r="AJ32" s="125">
        <v>-29.521999999999998</v>
      </c>
      <c r="AK32" s="125">
        <v>-37.682000000000002</v>
      </c>
      <c r="AL32" s="125">
        <f>-51694/1000</f>
        <v>-51.694000000000003</v>
      </c>
      <c r="AM32" s="125">
        <v>-31.998000000000001</v>
      </c>
      <c r="AN32" s="125">
        <v>-38.356999999999999</v>
      </c>
      <c r="AO32" s="125"/>
      <c r="AP32" s="28"/>
      <c r="AQ32" s="28"/>
      <c r="AR32" s="28"/>
      <c r="AS32" s="28"/>
      <c r="AT32" s="28"/>
      <c r="AU32" s="28"/>
      <c r="AV32" s="28"/>
      <c r="AW32" s="28"/>
      <c r="AX32" s="125">
        <v>-170.815</v>
      </c>
      <c r="AY32" s="125">
        <v>-151.15100000000001</v>
      </c>
      <c r="AZ32" s="125"/>
      <c r="BA32" s="126">
        <f t="shared" si="14"/>
        <v>-161.88099999999997</v>
      </c>
      <c r="BB32" s="126">
        <f t="shared" si="14"/>
        <v>-150.89600000000002</v>
      </c>
    </row>
    <row r="33" spans="1:54" ht="12.9" x14ac:dyDescent="0.5">
      <c r="A33" s="2" t="s">
        <v>206</v>
      </c>
      <c r="B33" s="2"/>
      <c r="AD33" s="16"/>
      <c r="AE33" s="16"/>
      <c r="AF33" s="29"/>
      <c r="AG33" s="29"/>
      <c r="AH33" s="29"/>
      <c r="AI33" s="29"/>
      <c r="AJ33" s="29"/>
      <c r="AK33" s="29"/>
      <c r="AL33" s="29"/>
      <c r="AM33" s="29"/>
      <c r="AN33" s="29"/>
      <c r="AO33" s="29"/>
      <c r="AP33" s="28"/>
      <c r="AQ33" s="28"/>
      <c r="AR33" s="28"/>
      <c r="AS33" s="28"/>
      <c r="AT33" s="28"/>
      <c r="AU33" s="28"/>
      <c r="AV33" s="28"/>
      <c r="AW33" s="28"/>
      <c r="AX33" s="29"/>
      <c r="AY33" s="29"/>
      <c r="AZ33" s="29"/>
      <c r="BA33" s="32"/>
      <c r="BB33" s="32"/>
    </row>
    <row r="34" spans="1:54" ht="12.9" x14ac:dyDescent="0.5">
      <c r="A34" s="2" t="s">
        <v>207</v>
      </c>
      <c r="B34" s="2"/>
      <c r="AD34" s="16"/>
      <c r="AE34" s="16"/>
      <c r="AF34" s="29">
        <v>208.63</v>
      </c>
      <c r="AG34" s="29">
        <v>364.46899999999999</v>
      </c>
      <c r="AH34" s="29">
        <v>705.59699999999998</v>
      </c>
      <c r="AI34" s="29">
        <v>-452.86799999999999</v>
      </c>
      <c r="AJ34" s="29">
        <v>249.17099999999999</v>
      </c>
      <c r="AK34" s="29">
        <v>1722.1679999999999</v>
      </c>
      <c r="AL34" s="125">
        <f>-409942/1000</f>
        <v>-409.94200000000001</v>
      </c>
      <c r="AM34" s="125">
        <v>542.07000000000005</v>
      </c>
      <c r="AN34" s="125">
        <v>287.30900000000003</v>
      </c>
      <c r="AO34" s="125"/>
      <c r="AP34" s="28"/>
      <c r="AQ34" s="28"/>
      <c r="AR34" s="28"/>
      <c r="AS34" s="28"/>
      <c r="AT34" s="28"/>
      <c r="AU34" s="28"/>
      <c r="AV34" s="28"/>
      <c r="AW34" s="28"/>
      <c r="AX34" s="125">
        <v>1499.057</v>
      </c>
      <c r="AY34" s="125">
        <v>1108.529</v>
      </c>
      <c r="AZ34" s="125"/>
      <c r="BA34" s="126">
        <f t="shared" ref="BA34:BB38" si="15">SUMIFS($C34:$AM34,$C$5:$AM$5,"&lt;="&amp;BA$5,$C$5:$AM$5,"&gt;"&amp;EOMONTH(BA$5,-12))</f>
        <v>825.82799999999997</v>
      </c>
      <c r="BB34" s="126">
        <f t="shared" si="15"/>
        <v>2103.4670000000001</v>
      </c>
    </row>
    <row r="35" spans="1:54" ht="12.9" x14ac:dyDescent="0.5">
      <c r="A35" s="2" t="s">
        <v>208</v>
      </c>
      <c r="B35" s="2"/>
      <c r="AD35" s="16"/>
      <c r="AE35" s="16"/>
      <c r="AF35" s="29">
        <v>-196.35300000000001</v>
      </c>
      <c r="AG35" s="29">
        <v>-267.05900000000003</v>
      </c>
      <c r="AH35" s="29">
        <v>-460.97500000000002</v>
      </c>
      <c r="AI35" s="29">
        <v>418.94799999999998</v>
      </c>
      <c r="AJ35" s="29">
        <v>-234.37799999999999</v>
      </c>
      <c r="AK35" s="29">
        <v>-1575.4580000000001</v>
      </c>
      <c r="AL35" s="125">
        <f>134310/1000</f>
        <v>134.31</v>
      </c>
      <c r="AM35" s="125">
        <v>-465.89100000000002</v>
      </c>
      <c r="AN35" s="125">
        <v>-406.04</v>
      </c>
      <c r="AO35" s="125"/>
      <c r="AP35" s="28"/>
      <c r="AQ35" s="28"/>
      <c r="AR35" s="28"/>
      <c r="AS35" s="28"/>
      <c r="AT35" s="28"/>
      <c r="AU35" s="28"/>
      <c r="AV35" s="28"/>
      <c r="AW35" s="28"/>
      <c r="AX35" s="125">
        <v>-1060.8610000000001</v>
      </c>
      <c r="AY35" s="125">
        <v>-1256.578</v>
      </c>
      <c r="AZ35" s="125"/>
      <c r="BA35" s="126">
        <f t="shared" si="15"/>
        <v>-505.43900000000008</v>
      </c>
      <c r="BB35" s="126">
        <f t="shared" si="15"/>
        <v>-2141.4169999999999</v>
      </c>
    </row>
    <row r="36" spans="1:54" ht="12.9" x14ac:dyDescent="0.5">
      <c r="A36" s="2" t="s">
        <v>209</v>
      </c>
      <c r="B36" s="2"/>
      <c r="AD36" s="16"/>
      <c r="AE36" s="16"/>
      <c r="AF36" s="29">
        <v>3.5000000000000003E-2</v>
      </c>
      <c r="AG36" s="29">
        <v>-64.86</v>
      </c>
      <c r="AH36" s="29">
        <v>-132.709</v>
      </c>
      <c r="AI36" s="29">
        <v>64.528000000000006</v>
      </c>
      <c r="AJ36" s="29">
        <v>74.78</v>
      </c>
      <c r="AK36" s="29">
        <v>-192.31299999999999</v>
      </c>
      <c r="AL36" s="125">
        <f>507041/1000</f>
        <v>507.041</v>
      </c>
      <c r="AM36" s="125">
        <v>7.3410000000000002</v>
      </c>
      <c r="AN36" s="125">
        <v>0.79300000000000004</v>
      </c>
      <c r="AO36" s="125"/>
      <c r="AP36" s="28"/>
      <c r="AQ36" s="28"/>
      <c r="AR36" s="28"/>
      <c r="AS36" s="28"/>
      <c r="AT36" s="28"/>
      <c r="AU36" s="28"/>
      <c r="AV36" s="28"/>
      <c r="AW36" s="28"/>
      <c r="AX36" s="125">
        <v>-207.89400000000001</v>
      </c>
      <c r="AY36" s="125">
        <v>454.036</v>
      </c>
      <c r="AZ36" s="125"/>
      <c r="BA36" s="126">
        <f t="shared" si="15"/>
        <v>-133.00599999999997</v>
      </c>
      <c r="BB36" s="126">
        <f t="shared" si="15"/>
        <v>396.84900000000005</v>
      </c>
    </row>
    <row r="37" spans="1:54" ht="12.9" x14ac:dyDescent="0.5">
      <c r="A37" s="2" t="s">
        <v>210</v>
      </c>
      <c r="B37" s="2"/>
      <c r="AD37" s="16"/>
      <c r="AE37" s="16"/>
      <c r="AF37" s="29">
        <v>-53.610999999999997</v>
      </c>
      <c r="AG37" s="29">
        <v>-32.582000000000001</v>
      </c>
      <c r="AH37" s="29">
        <v>-14.603999999999999</v>
      </c>
      <c r="AI37" s="29">
        <v>-4.1210000000000004</v>
      </c>
      <c r="AJ37" s="29">
        <v>-3.0270000000000001</v>
      </c>
      <c r="AK37" s="29">
        <v>-5.3810000000000002</v>
      </c>
      <c r="AL37" s="125">
        <f>-1351/1000</f>
        <v>-1.351</v>
      </c>
      <c r="AM37" s="125">
        <v>-1.1419999999999999</v>
      </c>
      <c r="AN37" s="125">
        <v>-0.88600000000000001</v>
      </c>
      <c r="AO37" s="125"/>
      <c r="AP37" s="28"/>
      <c r="AQ37" s="28"/>
      <c r="AR37" s="28"/>
      <c r="AS37" s="28"/>
      <c r="AT37" s="28"/>
      <c r="AU37" s="28"/>
      <c r="AV37" s="28"/>
      <c r="AW37" s="28"/>
      <c r="AX37" s="125">
        <v>-412.13</v>
      </c>
      <c r="AY37" s="125">
        <v>-13.881</v>
      </c>
      <c r="AZ37" s="125"/>
      <c r="BA37" s="126">
        <f t="shared" si="15"/>
        <v>-104.91799999999999</v>
      </c>
      <c r="BB37" s="126">
        <f t="shared" si="15"/>
        <v>-10.901</v>
      </c>
    </row>
    <row r="38" spans="1:54" ht="12.9" x14ac:dyDescent="0.5">
      <c r="A38" s="2" t="s">
        <v>211</v>
      </c>
      <c r="B38" s="2"/>
      <c r="AD38" s="16"/>
      <c r="AE38" s="16"/>
      <c r="AF38" s="20">
        <f t="shared" ref="AF38:AM38" si="16">SUM(AF28:AF37)</f>
        <v>-52.827000000000091</v>
      </c>
      <c r="AG38" s="20">
        <f t="shared" si="16"/>
        <v>87.899999999999523</v>
      </c>
      <c r="AH38" s="20">
        <f t="shared" si="16"/>
        <v>-328.73</v>
      </c>
      <c r="AI38" s="20">
        <f t="shared" si="16"/>
        <v>716.92600000000004</v>
      </c>
      <c r="AJ38" s="20">
        <f t="shared" si="16"/>
        <v>129.49699999999999</v>
      </c>
      <c r="AK38" s="20">
        <f t="shared" si="16"/>
        <v>427.46900000000005</v>
      </c>
      <c r="AL38" s="20">
        <f t="shared" si="16"/>
        <v>-759.11100000000044</v>
      </c>
      <c r="AM38" s="20">
        <f t="shared" si="16"/>
        <v>1269.2669999999987</v>
      </c>
      <c r="AN38" s="20">
        <v>493.41799999999921</v>
      </c>
      <c r="AO38" s="20"/>
      <c r="AP38" s="28"/>
      <c r="AQ38" s="28"/>
      <c r="AR38" s="28"/>
      <c r="AS38" s="28"/>
      <c r="AT38" s="28"/>
      <c r="AU38" s="28"/>
      <c r="AV38" s="28"/>
      <c r="AW38" s="28"/>
      <c r="AX38" s="20">
        <f>SUM(AX28:AX37)</f>
        <v>-346.14099999999974</v>
      </c>
      <c r="AY38" s="20">
        <f>SUM(AY28:AY37)</f>
        <v>514.78000000000077</v>
      </c>
      <c r="AZ38" s="20"/>
      <c r="BA38" s="20">
        <f t="shared" si="15"/>
        <v>423.26899999999944</v>
      </c>
      <c r="BB38" s="20">
        <f t="shared" si="15"/>
        <v>1067.1219999999983</v>
      </c>
    </row>
    <row r="39" spans="1:54" ht="12.9" x14ac:dyDescent="0.5">
      <c r="A39" s="55"/>
      <c r="B39" s="2"/>
      <c r="AD39" s="16"/>
      <c r="AE39" s="16"/>
      <c r="AF39" s="16"/>
      <c r="AG39" s="16"/>
      <c r="AH39" s="16"/>
      <c r="AI39" s="16"/>
      <c r="AJ39" s="16"/>
      <c r="AK39" s="16"/>
      <c r="AL39" s="16"/>
      <c r="AM39" s="16"/>
      <c r="AN39" s="16"/>
      <c r="AO39" s="16"/>
      <c r="AP39" s="28"/>
      <c r="AQ39" s="28"/>
      <c r="AR39" s="28"/>
      <c r="AS39" s="28"/>
      <c r="AT39" s="28"/>
      <c r="AU39" s="28"/>
      <c r="AV39" s="28"/>
      <c r="AW39" s="28"/>
      <c r="AX39" s="28"/>
      <c r="AY39" s="127"/>
      <c r="AZ39" s="127"/>
      <c r="BA39" s="127"/>
      <c r="BB39" s="127"/>
    </row>
    <row r="40" spans="1:54" ht="12.9" x14ac:dyDescent="0.5">
      <c r="A40" s="7" t="s">
        <v>212</v>
      </c>
      <c r="B40" s="2"/>
      <c r="G40" s="30"/>
      <c r="H40" s="30"/>
      <c r="I40" s="30"/>
      <c r="J40" s="30"/>
      <c r="K40" s="30"/>
      <c r="L40" s="30"/>
      <c r="M40" s="30"/>
      <c r="N40" s="30"/>
      <c r="O40" s="30"/>
      <c r="P40" s="30"/>
      <c r="Q40" s="30"/>
      <c r="R40" s="30"/>
      <c r="S40" s="30"/>
      <c r="T40" s="30"/>
      <c r="U40" s="30"/>
      <c r="V40" s="30"/>
      <c r="W40" s="30"/>
      <c r="X40" s="30"/>
      <c r="Y40" s="30"/>
      <c r="Z40" s="30"/>
      <c r="AA40" s="30"/>
      <c r="AB40" s="30"/>
      <c r="AC40" s="30"/>
      <c r="AD40" s="30"/>
      <c r="AE40" s="30"/>
      <c r="AF40" s="30"/>
      <c r="AG40" s="30"/>
      <c r="AH40" s="30"/>
      <c r="AI40" s="30"/>
      <c r="AJ40" s="30"/>
      <c r="AK40" s="30"/>
      <c r="AL40" s="30"/>
      <c r="AM40" s="30"/>
      <c r="AN40" s="30"/>
      <c r="AO40" s="30"/>
      <c r="AP40" s="30"/>
      <c r="AQ40" s="30"/>
      <c r="AR40" s="30"/>
      <c r="AS40" s="30"/>
      <c r="AT40" s="30"/>
      <c r="AU40" s="30"/>
      <c r="AV40" s="30"/>
      <c r="AW40" s="30"/>
      <c r="AX40" s="30"/>
      <c r="AY40" s="30"/>
      <c r="AZ40" s="30"/>
      <c r="BA40" s="30"/>
      <c r="BB40" s="30"/>
    </row>
    <row r="41" spans="1:54" ht="12.9" x14ac:dyDescent="0.5">
      <c r="A41" s="2" t="s">
        <v>213</v>
      </c>
      <c r="B41" s="2"/>
      <c r="G41" s="30"/>
      <c r="H41" s="30"/>
      <c r="I41" s="30"/>
      <c r="J41" s="30"/>
      <c r="K41" s="30"/>
      <c r="L41" s="30"/>
      <c r="M41" s="30"/>
      <c r="N41" s="30"/>
      <c r="O41" s="30"/>
      <c r="P41" s="30"/>
      <c r="Q41" s="30"/>
      <c r="R41" s="30"/>
      <c r="S41" s="30"/>
      <c r="T41" s="30"/>
      <c r="U41" s="30"/>
      <c r="V41" s="30"/>
      <c r="W41" s="30"/>
      <c r="X41" s="30"/>
      <c r="Y41" s="30"/>
      <c r="Z41" s="30"/>
      <c r="AA41" s="30"/>
      <c r="AB41" s="30"/>
      <c r="AC41" s="30"/>
      <c r="AD41" s="38">
        <v>42550</v>
      </c>
      <c r="AE41" s="38">
        <v>39540</v>
      </c>
      <c r="AF41" s="38">
        <v>48270</v>
      </c>
      <c r="AG41" s="38">
        <v>50040</v>
      </c>
      <c r="AH41" s="38">
        <v>48610</v>
      </c>
      <c r="AI41" s="38">
        <v>46220</v>
      </c>
      <c r="AJ41" s="38">
        <v>54150</v>
      </c>
      <c r="AK41" s="38">
        <v>55690</v>
      </c>
      <c r="AL41" s="38">
        <f>53543.178654</f>
        <v>53543.178654000003</v>
      </c>
      <c r="AM41" s="38">
        <v>50464.932000000001</v>
      </c>
      <c r="AN41" s="38">
        <v>58371.826999999997</v>
      </c>
      <c r="AO41" s="38"/>
      <c r="AP41" s="30"/>
      <c r="AQ41" s="30"/>
      <c r="AR41" s="30"/>
      <c r="AS41" s="30"/>
      <c r="AT41" s="30"/>
      <c r="AU41" s="30"/>
      <c r="AV41" s="30"/>
      <c r="AW41" s="30"/>
      <c r="AX41" s="12">
        <f>SUMIFS($C41:$AH41,$C$7:$AH$7,AX$7)</f>
        <v>186460</v>
      </c>
      <c r="AY41" s="12">
        <f>SUMIFS($C41:$AL41,$C$7:$AL$7,AY$7)</f>
        <v>209603.17865399999</v>
      </c>
      <c r="AZ41" s="12"/>
      <c r="BA41" s="12"/>
      <c r="BB41" s="12"/>
    </row>
    <row r="42" spans="1:54" ht="12.9" x14ac:dyDescent="0.5">
      <c r="A42" s="56" t="s">
        <v>192</v>
      </c>
      <c r="B42" s="2"/>
      <c r="G42" s="30"/>
      <c r="H42" s="30"/>
      <c r="I42" s="30"/>
      <c r="J42" s="30"/>
      <c r="K42" s="30"/>
      <c r="L42" s="30"/>
      <c r="M42" s="30"/>
      <c r="N42" s="30"/>
      <c r="O42" s="30"/>
      <c r="P42" s="30"/>
      <c r="Q42" s="30"/>
      <c r="R42" s="30"/>
      <c r="S42" s="30"/>
      <c r="T42" s="30"/>
      <c r="U42" s="30"/>
      <c r="V42" s="30"/>
      <c r="W42" s="30"/>
      <c r="X42" s="30"/>
      <c r="Y42" s="30"/>
      <c r="Z42" s="30"/>
      <c r="AA42" s="30"/>
      <c r="AB42" s="30"/>
      <c r="AC42" s="30"/>
      <c r="AD42" s="79">
        <v>0.45</v>
      </c>
      <c r="AE42" s="79">
        <v>0.33</v>
      </c>
      <c r="AF42" s="79">
        <v>0.25</v>
      </c>
      <c r="AG42" s="79">
        <v>0.2</v>
      </c>
      <c r="AH42" s="79">
        <v>0.14000000000000001</v>
      </c>
      <c r="AI42" s="79">
        <v>0.17</v>
      </c>
      <c r="AJ42" s="79">
        <f>AJ41/AF41-1</f>
        <v>0.12181479179614674</v>
      </c>
      <c r="AK42" s="79">
        <f>AK41/AG41-1</f>
        <v>0.11290967226219029</v>
      </c>
      <c r="AL42" s="79">
        <f>AL41/AH41-1</f>
        <v>0.10148485196461632</v>
      </c>
      <c r="AM42" s="79">
        <f>AM41/AI41-1</f>
        <v>9.1841886629164815E-2</v>
      </c>
      <c r="AN42" s="79">
        <v>7.7965410895660225E-2</v>
      </c>
      <c r="AO42" s="79"/>
      <c r="AP42" s="30"/>
      <c r="AQ42" s="30"/>
      <c r="AR42" s="30"/>
      <c r="AS42" s="30"/>
      <c r="AT42" s="30"/>
      <c r="AU42" s="30"/>
      <c r="AV42" s="30"/>
      <c r="AW42" s="30"/>
      <c r="AX42" s="121"/>
      <c r="AY42" s="121"/>
      <c r="AZ42" s="121"/>
      <c r="BA42" s="121"/>
      <c r="BB42" s="121"/>
    </row>
    <row r="43" spans="1:54" ht="12.9" x14ac:dyDescent="0.5">
      <c r="A43" s="7"/>
      <c r="B43" s="2"/>
      <c r="G43" s="30"/>
      <c r="H43" s="30"/>
      <c r="I43" s="30"/>
      <c r="J43" s="30"/>
      <c r="K43" s="30"/>
      <c r="L43" s="30"/>
      <c r="M43" s="30"/>
      <c r="N43" s="30"/>
      <c r="O43" s="30"/>
      <c r="P43" s="30"/>
      <c r="Q43" s="30"/>
      <c r="R43" s="30"/>
      <c r="S43" s="30"/>
      <c r="T43" s="30"/>
      <c r="U43" s="30"/>
      <c r="V43" s="30"/>
      <c r="W43" s="30"/>
      <c r="X43" s="30"/>
      <c r="Y43" s="30"/>
      <c r="Z43" s="30"/>
      <c r="AA43" s="30"/>
      <c r="AB43" s="30"/>
      <c r="AC43" s="30"/>
      <c r="AD43" s="30"/>
      <c r="AE43" s="30"/>
      <c r="AF43" s="30"/>
      <c r="AG43" s="30"/>
      <c r="AH43" s="30"/>
      <c r="AI43" s="30"/>
      <c r="AJ43" s="30"/>
      <c r="AK43" s="30"/>
      <c r="AL43" s="30"/>
      <c r="AM43" s="30"/>
      <c r="AN43" s="30"/>
      <c r="AO43" s="30"/>
      <c r="AP43" s="30"/>
      <c r="AQ43" s="30"/>
      <c r="AR43" s="30"/>
      <c r="AS43" s="30"/>
      <c r="AT43" s="30"/>
      <c r="AU43" s="30"/>
      <c r="AV43" s="30"/>
      <c r="AW43" s="30"/>
      <c r="AX43" s="30"/>
      <c r="AY43" s="30"/>
      <c r="AZ43" s="30"/>
      <c r="BA43" s="30"/>
      <c r="BB43" s="30"/>
    </row>
    <row r="44" spans="1:54" ht="12.9" x14ac:dyDescent="0.5">
      <c r="A44" s="2" t="s">
        <v>214</v>
      </c>
      <c r="B44" s="2"/>
      <c r="G44" s="30"/>
      <c r="H44" s="30"/>
      <c r="I44" s="30"/>
      <c r="J44" s="30"/>
      <c r="K44" s="30"/>
      <c r="L44" s="30"/>
      <c r="M44" s="30"/>
      <c r="N44" s="30"/>
      <c r="O44" s="30"/>
      <c r="P44" s="30"/>
      <c r="Q44" s="30"/>
      <c r="R44" s="30"/>
      <c r="S44" s="30"/>
      <c r="T44" s="30"/>
      <c r="U44" s="30"/>
      <c r="V44" s="30"/>
      <c r="W44" s="30"/>
      <c r="X44" s="30"/>
      <c r="Y44" s="30"/>
      <c r="Z44" s="30"/>
      <c r="AA44" s="30"/>
      <c r="AB44" s="30"/>
      <c r="AC44" s="30"/>
      <c r="AD44" s="30"/>
      <c r="AE44" s="30"/>
      <c r="AF44" s="30"/>
      <c r="AG44" s="30"/>
      <c r="AH44" s="30"/>
      <c r="AI44" s="30"/>
      <c r="AJ44" s="30"/>
      <c r="AK44" s="30"/>
      <c r="AL44" s="30"/>
      <c r="AM44" s="30"/>
      <c r="AN44" s="30"/>
      <c r="AO44" s="30"/>
      <c r="AP44" s="30"/>
      <c r="AQ44" s="30"/>
      <c r="AR44" s="30"/>
      <c r="AS44" s="30"/>
      <c r="AT44" s="30"/>
      <c r="AU44" s="30"/>
      <c r="AV44" s="30"/>
      <c r="AW44" s="30"/>
      <c r="AX44" s="30"/>
      <c r="AY44" s="30"/>
      <c r="AZ44" s="30"/>
      <c r="BA44" s="30"/>
      <c r="BB44" s="30"/>
    </row>
    <row r="45" spans="1:54" ht="12.9" x14ac:dyDescent="0.5">
      <c r="A45" s="56" t="s">
        <v>215</v>
      </c>
      <c r="B45" s="2"/>
      <c r="C45" s="128"/>
      <c r="D45" s="128"/>
      <c r="E45" s="128"/>
      <c r="F45" s="128"/>
      <c r="G45" s="79">
        <v>0.60499999999999998</v>
      </c>
      <c r="H45" s="79">
        <v>0.57899999999999996</v>
      </c>
      <c r="I45" s="79">
        <v>0.56399999999999995</v>
      </c>
      <c r="J45" s="79">
        <v>0.56499999999999995</v>
      </c>
      <c r="K45" s="79">
        <v>0.56599999999999995</v>
      </c>
      <c r="L45" s="79">
        <v>0.53500000000000003</v>
      </c>
      <c r="M45" s="79">
        <v>0.52</v>
      </c>
      <c r="N45" s="79">
        <v>0.52100000000000002</v>
      </c>
      <c r="O45" s="79">
        <v>0.51900000000000002</v>
      </c>
      <c r="P45" s="79">
        <v>0.48899999999999999</v>
      </c>
      <c r="Q45" s="79">
        <v>0.47399999999999998</v>
      </c>
      <c r="R45" s="79">
        <v>0.47699999999999998</v>
      </c>
      <c r="S45" s="79">
        <v>0.47499999999999998</v>
      </c>
      <c r="T45" s="79">
        <v>0.44900000000000001</v>
      </c>
      <c r="U45" s="79">
        <v>0.436</v>
      </c>
      <c r="V45" s="79">
        <v>0.44</v>
      </c>
      <c r="W45" s="79">
        <v>0.45600000000000002</v>
      </c>
      <c r="X45" s="79">
        <v>0.432</v>
      </c>
      <c r="Y45" s="79">
        <v>0.39100000000000001</v>
      </c>
      <c r="Z45" s="79">
        <v>0.39700000000000002</v>
      </c>
      <c r="AA45" s="79">
        <v>0.39100000000000001</v>
      </c>
      <c r="AB45" s="79">
        <v>0.34599999999999997</v>
      </c>
      <c r="AC45" s="79">
        <v>0.33600000000000002</v>
      </c>
      <c r="AD45" s="79">
        <v>0.34</v>
      </c>
      <c r="AE45" s="79">
        <v>0.35</v>
      </c>
      <c r="AF45" s="79">
        <v>0.32</v>
      </c>
      <c r="AG45" s="79">
        <v>0.31</v>
      </c>
      <c r="AH45" s="79">
        <v>0.33</v>
      </c>
      <c r="AI45" s="79">
        <v>0.33</v>
      </c>
      <c r="AJ45" s="79">
        <v>0.31</v>
      </c>
      <c r="AK45" s="79">
        <v>0.3</v>
      </c>
      <c r="AL45" s="79">
        <v>0.32</v>
      </c>
      <c r="AM45" s="79">
        <v>0.32</v>
      </c>
      <c r="AN45" s="79">
        <v>0.3</v>
      </c>
      <c r="AO45" s="79"/>
      <c r="AP45" s="30"/>
      <c r="AQ45" s="30"/>
      <c r="AR45" s="30"/>
      <c r="AS45" s="30"/>
      <c r="AT45" s="30"/>
      <c r="AU45" s="30"/>
      <c r="AV45" s="30"/>
      <c r="AW45" s="30"/>
      <c r="AX45" s="30"/>
      <c r="AY45" s="30"/>
      <c r="AZ45" s="30"/>
      <c r="BA45" s="30"/>
      <c r="BB45" s="30"/>
    </row>
    <row r="46" spans="1:54" ht="12.9" x14ac:dyDescent="0.5">
      <c r="A46" s="56" t="s">
        <v>216</v>
      </c>
      <c r="B46" s="2"/>
      <c r="C46" s="128"/>
      <c r="D46" s="128"/>
      <c r="E46" s="128"/>
      <c r="F46" s="128"/>
      <c r="G46" s="79">
        <v>0.26200000000000001</v>
      </c>
      <c r="H46" s="79">
        <v>0.26900000000000002</v>
      </c>
      <c r="I46" s="79">
        <v>0.27400000000000002</v>
      </c>
      <c r="J46" s="79">
        <v>0.26900000000000002</v>
      </c>
      <c r="K46" s="79">
        <v>0.27</v>
      </c>
      <c r="L46" s="79">
        <v>0.27700000000000002</v>
      </c>
      <c r="M46" s="79">
        <v>0.27700000000000002</v>
      </c>
      <c r="N46" s="79">
        <v>0.27700000000000002</v>
      </c>
      <c r="O46" s="79">
        <v>0.27900000000000003</v>
      </c>
      <c r="P46" s="79">
        <v>0.28399999999999997</v>
      </c>
      <c r="Q46" s="79">
        <v>0.28399999999999997</v>
      </c>
      <c r="R46" s="79">
        <v>0.28100000000000003</v>
      </c>
      <c r="S46" s="79">
        <v>0.28399999999999997</v>
      </c>
      <c r="T46" s="79">
        <v>0.28699999999999998</v>
      </c>
      <c r="U46" s="79">
        <v>0.28599999999999998</v>
      </c>
      <c r="V46" s="79">
        <v>0.28299999999999997</v>
      </c>
      <c r="W46" s="79">
        <v>0.28699999999999998</v>
      </c>
      <c r="X46" s="79">
        <v>0.30099999999999999</v>
      </c>
      <c r="Y46" s="79">
        <v>0.30299999999999999</v>
      </c>
      <c r="Z46" s="79">
        <v>0.30299999999999999</v>
      </c>
      <c r="AA46" s="79">
        <v>0.30499999999999999</v>
      </c>
      <c r="AB46" s="79">
        <v>0.30099999999999999</v>
      </c>
      <c r="AC46" s="79">
        <v>0.29399999999999998</v>
      </c>
      <c r="AD46" s="79">
        <v>0.29099999999999998</v>
      </c>
      <c r="AE46" s="79">
        <v>0.3</v>
      </c>
      <c r="AF46" s="79">
        <v>0.28999999999999998</v>
      </c>
      <c r="AG46" s="79">
        <v>0.28999999999999998</v>
      </c>
      <c r="AH46" s="79">
        <v>0.28999999999999998</v>
      </c>
      <c r="AI46" s="79">
        <v>0.3</v>
      </c>
      <c r="AJ46" s="79">
        <v>0.28999999999999998</v>
      </c>
      <c r="AK46" s="79">
        <v>0.28999999999999998</v>
      </c>
      <c r="AL46" s="79">
        <v>0.28999999999999998</v>
      </c>
      <c r="AM46" s="79">
        <v>0.28999999999999998</v>
      </c>
      <c r="AN46" s="79">
        <v>0.28999999999999998</v>
      </c>
      <c r="AO46" s="79"/>
      <c r="AP46" s="30"/>
      <c r="AQ46" s="30"/>
      <c r="AR46" s="30"/>
      <c r="AS46" s="30"/>
      <c r="AT46" s="30"/>
      <c r="AU46" s="30"/>
      <c r="AV46" s="30"/>
      <c r="AW46" s="30"/>
      <c r="AX46" s="30"/>
      <c r="AY46" s="30"/>
      <c r="AZ46" s="30"/>
      <c r="BA46" s="30"/>
      <c r="BB46" s="30"/>
    </row>
    <row r="47" spans="1:54" ht="12.9" x14ac:dyDescent="0.5">
      <c r="A47" s="56" t="s">
        <v>217</v>
      </c>
      <c r="B47" s="2"/>
      <c r="C47" s="128"/>
      <c r="D47" s="128"/>
      <c r="E47" s="128"/>
      <c r="F47" s="128"/>
      <c r="G47" s="79">
        <v>0.13500000000000001</v>
      </c>
      <c r="H47" s="79">
        <v>0.154</v>
      </c>
      <c r="I47" s="79">
        <v>0.16200000000000001</v>
      </c>
      <c r="J47" s="79">
        <v>0.16600000000000001</v>
      </c>
      <c r="K47" s="79">
        <v>0.16400000000000001</v>
      </c>
      <c r="L47" s="79">
        <v>0.189</v>
      </c>
      <c r="M47" s="79">
        <v>0.20300000000000001</v>
      </c>
      <c r="N47" s="79">
        <v>0.20200000000000001</v>
      </c>
      <c r="O47" s="79">
        <v>0.20200000000000001</v>
      </c>
      <c r="P47" s="79">
        <v>0.22700000000000001</v>
      </c>
      <c r="Q47" s="79">
        <v>0.24199999999999999</v>
      </c>
      <c r="R47" s="79">
        <v>0.24199999999999999</v>
      </c>
      <c r="S47" s="79">
        <v>0.24099999999999999</v>
      </c>
      <c r="T47" s="79">
        <v>0.26500000000000001</v>
      </c>
      <c r="U47" s="79">
        <v>0.27900000000000003</v>
      </c>
      <c r="V47" s="79">
        <v>0.27800000000000002</v>
      </c>
      <c r="W47" s="79">
        <v>0.25700000000000001</v>
      </c>
      <c r="X47" s="79">
        <v>0.27</v>
      </c>
      <c r="Y47" s="79">
        <v>0.30599999999999999</v>
      </c>
      <c r="Z47" s="79">
        <v>0.3</v>
      </c>
      <c r="AA47" s="79">
        <v>0.30399999999999999</v>
      </c>
      <c r="AB47" s="79">
        <v>0.35399999999999998</v>
      </c>
      <c r="AC47" s="79">
        <v>0.371</v>
      </c>
      <c r="AD47" s="79">
        <v>0.36899999999999999</v>
      </c>
      <c r="AE47" s="79">
        <v>0.35</v>
      </c>
      <c r="AF47" s="79">
        <v>0.39</v>
      </c>
      <c r="AG47" s="79">
        <v>0.4</v>
      </c>
      <c r="AH47" s="79">
        <v>0.39</v>
      </c>
      <c r="AI47" s="79">
        <v>0.38</v>
      </c>
      <c r="AJ47" s="79">
        <v>0.4</v>
      </c>
      <c r="AK47" s="79">
        <v>0.41</v>
      </c>
      <c r="AL47" s="79">
        <v>0.4</v>
      </c>
      <c r="AM47" s="79">
        <v>0.39</v>
      </c>
      <c r="AN47" s="79">
        <v>0.41</v>
      </c>
      <c r="AO47" s="79"/>
      <c r="AP47" s="30"/>
      <c r="AQ47" s="30"/>
      <c r="AR47" s="30"/>
      <c r="AS47" s="30"/>
      <c r="AT47" s="30"/>
      <c r="AU47" s="30"/>
      <c r="AV47" s="30"/>
      <c r="AW47" s="30"/>
      <c r="AX47" s="30"/>
      <c r="AY47" s="30"/>
      <c r="AZ47" s="30"/>
      <c r="BA47" s="30"/>
      <c r="BB47" s="30"/>
    </row>
    <row r="48" spans="1:54" ht="12.9" x14ac:dyDescent="0.5">
      <c r="A48" s="56" t="s">
        <v>218</v>
      </c>
      <c r="B48" s="2"/>
      <c r="C48" s="128"/>
      <c r="D48" s="128"/>
      <c r="E48" s="128"/>
      <c r="F48" s="128"/>
      <c r="G48" s="79">
        <v>0.4</v>
      </c>
      <c r="H48" s="79">
        <v>0.42</v>
      </c>
      <c r="I48" s="79">
        <v>0.44</v>
      </c>
      <c r="J48" s="79">
        <v>0.43</v>
      </c>
      <c r="K48" s="79">
        <v>0.43</v>
      </c>
      <c r="L48" s="79">
        <v>0.47</v>
      </c>
      <c r="M48" s="79">
        <v>0.48</v>
      </c>
      <c r="N48" s="79">
        <v>0.48</v>
      </c>
      <c r="O48" s="79">
        <v>0.48</v>
      </c>
      <c r="P48" s="79">
        <v>0.51</v>
      </c>
      <c r="Q48" s="79">
        <v>0.53</v>
      </c>
      <c r="R48" s="79">
        <v>0.52</v>
      </c>
      <c r="S48" s="79">
        <v>0.52</v>
      </c>
      <c r="T48" s="79">
        <v>0.55000000000000004</v>
      </c>
      <c r="U48" s="79">
        <v>0.56000000000000005</v>
      </c>
      <c r="V48" s="79">
        <v>0.56000000000000005</v>
      </c>
      <c r="W48" s="79">
        <v>0.54</v>
      </c>
      <c r="X48" s="79">
        <v>0.56999999999999995</v>
      </c>
      <c r="Y48" s="79">
        <v>0.61</v>
      </c>
      <c r="Z48" s="79">
        <v>0.6</v>
      </c>
      <c r="AA48" s="79">
        <v>0.61</v>
      </c>
      <c r="AB48" s="79">
        <v>0.65</v>
      </c>
      <c r="AC48" s="79">
        <v>0.66</v>
      </c>
      <c r="AD48" s="79">
        <v>0.66</v>
      </c>
      <c r="AE48" s="79">
        <v>0.65</v>
      </c>
      <c r="AF48" s="79">
        <v>0.68</v>
      </c>
      <c r="AG48" s="79">
        <v>0.69</v>
      </c>
      <c r="AH48" s="79">
        <v>0.68</v>
      </c>
      <c r="AI48" s="79">
        <v>0.68</v>
      </c>
      <c r="AJ48" s="79">
        <v>0.69</v>
      </c>
      <c r="AK48" s="79">
        <v>0.7</v>
      </c>
      <c r="AL48" s="79">
        <v>0.69</v>
      </c>
      <c r="AM48" s="79">
        <v>0.68</v>
      </c>
      <c r="AN48" s="79">
        <v>0.7</v>
      </c>
      <c r="AO48" s="79"/>
      <c r="AP48" s="30"/>
      <c r="AQ48" s="30"/>
      <c r="AR48" s="30"/>
      <c r="AS48" s="30"/>
      <c r="AT48" s="30"/>
      <c r="AU48" s="30"/>
      <c r="AV48" s="30"/>
      <c r="AW48" s="30"/>
      <c r="AX48" s="30"/>
      <c r="AY48" s="30"/>
      <c r="AZ48" s="30"/>
      <c r="BA48" s="30"/>
      <c r="BB48" s="30"/>
    </row>
    <row r="49" spans="1:54" ht="12.9" x14ac:dyDescent="0.5">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row>
    <row r="50" spans="1:54" ht="12.9" x14ac:dyDescent="0.5">
      <c r="A50" s="2" t="s">
        <v>219</v>
      </c>
      <c r="B50" s="2"/>
      <c r="C50" s="2"/>
      <c r="D50" s="2"/>
      <c r="E50" s="2"/>
      <c r="F50" s="2"/>
      <c r="G50" s="2"/>
      <c r="H50" s="2"/>
      <c r="I50" s="2"/>
      <c r="J50" s="2"/>
      <c r="K50" s="2"/>
      <c r="L50" s="2"/>
      <c r="M50" s="2"/>
      <c r="N50" s="2"/>
      <c r="O50" s="38">
        <v>8</v>
      </c>
      <c r="P50" s="38">
        <v>10</v>
      </c>
      <c r="Q50" s="38">
        <v>13</v>
      </c>
      <c r="R50" s="38">
        <v>16</v>
      </c>
      <c r="S50" s="38">
        <v>16</v>
      </c>
      <c r="T50" s="38">
        <v>18</v>
      </c>
      <c r="U50" s="38">
        <v>20</v>
      </c>
      <c r="V50" s="38">
        <v>23</v>
      </c>
      <c r="W50" s="38">
        <v>22</v>
      </c>
      <c r="X50" s="38">
        <v>17</v>
      </c>
      <c r="Y50" s="38">
        <v>31</v>
      </c>
      <c r="Z50" s="38">
        <v>39</v>
      </c>
      <c r="AA50" s="38">
        <v>39</v>
      </c>
      <c r="AB50" s="38">
        <v>48</v>
      </c>
      <c r="AC50" s="38">
        <v>53</v>
      </c>
      <c r="AD50" s="38">
        <v>62</v>
      </c>
      <c r="AE50" s="38">
        <v>85.754000000000005</v>
      </c>
      <c r="AF50" s="38">
        <v>114.598</v>
      </c>
      <c r="AG50" s="38">
        <v>120.91800000000001</v>
      </c>
      <c r="AH50" s="38">
        <v>139.05199999999999</v>
      </c>
      <c r="AI50" s="38">
        <v>122.345</v>
      </c>
      <c r="AJ50" s="38">
        <v>141.19800000000001</v>
      </c>
      <c r="AK50" s="38">
        <v>151.422</v>
      </c>
      <c r="AL50" s="38">
        <f>106.198</f>
        <v>106.19799999999999</v>
      </c>
      <c r="AM50" s="38">
        <v>103.02800000000001</v>
      </c>
      <c r="AN50" s="38">
        <v>120.503</v>
      </c>
      <c r="AO50" s="38"/>
      <c r="AP50" s="2"/>
      <c r="AQ50" s="2"/>
      <c r="AR50" s="2"/>
      <c r="AS50" s="2"/>
      <c r="AT50" s="12">
        <f>SUMIFS($C50:$U50,$C$7:$U$7,AT$7)</f>
        <v>47</v>
      </c>
      <c r="AU50" s="12">
        <f>SUMIFS($C50:$V50,$C$7:$V$7,AU$7)</f>
        <v>77</v>
      </c>
      <c r="AV50" s="12">
        <f>SUMIFS($C50:$Z50,$C$7:$Z$7,AV$7)</f>
        <v>109</v>
      </c>
      <c r="AW50" s="12">
        <f>SUMIFS($C50:$AD50,$C$7:$AD$7,AW$7)</f>
        <v>202</v>
      </c>
      <c r="AX50" s="12">
        <f>SUMIFS($C50:$AH50,$C$7:$AH$7,AX$7)</f>
        <v>460.322</v>
      </c>
      <c r="AY50" s="12">
        <f>SUMIFS($C50:$AL50,$C$7:$AL$7,AY$7)</f>
        <v>521.16300000000001</v>
      </c>
      <c r="AZ50" s="12"/>
      <c r="BA50" s="12"/>
      <c r="BB50" s="12"/>
    </row>
    <row r="51" spans="1:54" ht="12.9" x14ac:dyDescent="0.5">
      <c r="A51" s="2" t="s">
        <v>220</v>
      </c>
      <c r="B51" s="2"/>
      <c r="C51" s="2"/>
      <c r="D51" s="2"/>
      <c r="E51" s="2"/>
      <c r="F51" s="2"/>
      <c r="G51" s="2"/>
      <c r="H51" s="2"/>
      <c r="I51" s="2"/>
      <c r="J51" s="2"/>
      <c r="K51" s="2"/>
      <c r="L51" s="2"/>
      <c r="M51" s="2"/>
      <c r="N51" s="2"/>
      <c r="O51" s="79"/>
      <c r="P51" s="79"/>
      <c r="Q51" s="79"/>
      <c r="R51" s="79"/>
      <c r="S51" s="79"/>
      <c r="T51" s="79"/>
      <c r="U51" s="79"/>
      <c r="V51" s="79"/>
      <c r="W51" s="79"/>
      <c r="X51" s="79"/>
      <c r="Y51" s="79"/>
      <c r="Z51" s="79"/>
      <c r="AA51" s="79"/>
      <c r="AB51" s="79"/>
      <c r="AC51" s="79"/>
      <c r="AD51" s="79"/>
      <c r="AE51" s="94">
        <v>27.587</v>
      </c>
      <c r="AF51" s="94">
        <v>47.822000000000003</v>
      </c>
      <c r="AG51" s="94">
        <v>45.828000000000003</v>
      </c>
      <c r="AH51" s="94">
        <v>55.866</v>
      </c>
      <c r="AI51" s="94">
        <v>47.628</v>
      </c>
      <c r="AJ51" s="94">
        <v>51.261000000000003</v>
      </c>
      <c r="AK51" s="94">
        <v>56.305999999999997</v>
      </c>
      <c r="AL51" s="94">
        <v>0</v>
      </c>
      <c r="AM51" s="94">
        <v>0</v>
      </c>
      <c r="AN51" s="94">
        <v>0</v>
      </c>
      <c r="AO51" s="94"/>
      <c r="AP51" s="2"/>
      <c r="AQ51" s="2"/>
      <c r="AR51" s="2"/>
      <c r="AS51" s="2"/>
      <c r="AT51" s="12"/>
      <c r="AU51" s="12"/>
      <c r="AV51" s="12"/>
      <c r="AW51" s="12"/>
      <c r="AX51" s="12">
        <f>SUMIFS($C51:$AH51,$C$7:$AH$7,AX$7)</f>
        <v>177.10300000000001</v>
      </c>
      <c r="AY51" s="12">
        <f>SUMIFS($C51:$AL51,$C$7:$AL$7,AY$7)</f>
        <v>155.19499999999999</v>
      </c>
      <c r="AZ51" s="12"/>
      <c r="BA51" s="12"/>
      <c r="BB51" s="12"/>
    </row>
    <row r="52" spans="1:54" ht="12.9" x14ac:dyDescent="0.5">
      <c r="A52" s="2" t="s">
        <v>221</v>
      </c>
      <c r="B52" s="2"/>
      <c r="C52" s="2"/>
      <c r="D52" s="2"/>
      <c r="E52" s="2"/>
      <c r="F52" s="2"/>
      <c r="G52" s="2"/>
      <c r="H52" s="2"/>
      <c r="I52" s="2"/>
      <c r="J52" s="2"/>
      <c r="K52" s="2"/>
      <c r="L52" s="2"/>
      <c r="M52" s="2"/>
      <c r="N52" s="2"/>
      <c r="O52" s="79"/>
      <c r="P52" s="79"/>
      <c r="Q52" s="79"/>
      <c r="R52" s="79"/>
      <c r="S52" s="79"/>
      <c r="T52" s="79"/>
      <c r="U52" s="79"/>
      <c r="V52" s="79"/>
      <c r="W52" s="79"/>
      <c r="X52" s="79"/>
      <c r="Y52" s="79"/>
      <c r="Z52" s="79"/>
      <c r="AA52" s="79"/>
      <c r="AB52" s="79"/>
      <c r="AC52" s="79"/>
      <c r="AD52" s="79"/>
      <c r="AE52" s="94">
        <f t="shared" ref="AE52:AM52" si="17">AE50-AE51</f>
        <v>58.167000000000002</v>
      </c>
      <c r="AF52" s="94">
        <f t="shared" si="17"/>
        <v>66.775999999999996</v>
      </c>
      <c r="AG52" s="94">
        <f t="shared" si="17"/>
        <v>75.09</v>
      </c>
      <c r="AH52" s="94">
        <f t="shared" si="17"/>
        <v>83.185999999999993</v>
      </c>
      <c r="AI52" s="94">
        <f t="shared" si="17"/>
        <v>74.716999999999999</v>
      </c>
      <c r="AJ52" s="94">
        <f t="shared" si="17"/>
        <v>89.937000000000012</v>
      </c>
      <c r="AK52" s="94">
        <f t="shared" si="17"/>
        <v>95.116</v>
      </c>
      <c r="AL52" s="94">
        <f t="shared" si="17"/>
        <v>106.19799999999999</v>
      </c>
      <c r="AM52" s="94">
        <f t="shared" si="17"/>
        <v>103.02800000000001</v>
      </c>
      <c r="AN52" s="94">
        <v>120.503</v>
      </c>
      <c r="AO52" s="94"/>
      <c r="AP52" s="2"/>
      <c r="AQ52" s="2"/>
      <c r="AR52" s="2"/>
      <c r="AS52" s="2"/>
      <c r="AT52" s="12"/>
      <c r="AU52" s="12"/>
      <c r="AV52" s="12"/>
      <c r="AW52" s="12"/>
      <c r="AX52" s="12">
        <f>SUMIFS($C52:$AH52,$C$7:$AH$7,AX$7)</f>
        <v>283.21899999999999</v>
      </c>
      <c r="AY52" s="12">
        <f>SUMIFS($C52:$AL52,$C$7:$AL$7,AY$7)</f>
        <v>365.96799999999996</v>
      </c>
      <c r="AZ52" s="12"/>
      <c r="BA52" s="12"/>
      <c r="BB52" s="12"/>
    </row>
    <row r="53" spans="1:54" ht="12.9" x14ac:dyDescent="0.5">
      <c r="A53" s="2"/>
      <c r="B53" s="2"/>
      <c r="C53" s="2"/>
      <c r="D53" s="2"/>
      <c r="E53" s="2"/>
      <c r="F53" s="2"/>
      <c r="G53" s="2"/>
      <c r="H53" s="2"/>
      <c r="I53" s="2"/>
      <c r="J53" s="2"/>
      <c r="K53" s="2"/>
      <c r="L53" s="2"/>
      <c r="M53" s="2"/>
      <c r="N53" s="2"/>
      <c r="O53" s="2"/>
      <c r="P53" s="2"/>
      <c r="Q53" s="2"/>
      <c r="R53" s="2"/>
      <c r="S53" s="2"/>
      <c r="T53" s="78"/>
      <c r="U53" s="78"/>
      <c r="V53" s="28"/>
      <c r="W53" s="28"/>
      <c r="X53" s="78"/>
      <c r="Y53" s="78"/>
      <c r="Z53" s="28"/>
      <c r="AA53" s="28"/>
      <c r="AB53" s="78"/>
      <c r="AC53" s="78"/>
      <c r="AD53" s="28"/>
      <c r="AE53" s="28"/>
      <c r="AF53" s="78"/>
      <c r="AG53" s="78"/>
      <c r="AH53" s="28"/>
      <c r="AI53" s="28"/>
      <c r="AJ53" s="78"/>
      <c r="AK53" s="78"/>
      <c r="AL53" s="78"/>
      <c r="AM53" s="78"/>
      <c r="AN53" s="78"/>
      <c r="AO53" s="78"/>
      <c r="AP53" s="78"/>
      <c r="AQ53" s="28"/>
      <c r="AR53" s="28"/>
      <c r="AS53" s="28"/>
      <c r="AT53" s="28"/>
      <c r="AU53" s="28"/>
      <c r="AV53" s="28"/>
      <c r="AW53" s="28"/>
      <c r="AX53" s="28"/>
      <c r="AY53" s="28"/>
      <c r="AZ53" s="28"/>
      <c r="BA53" s="28"/>
      <c r="BB53" s="28"/>
    </row>
    <row r="54" spans="1:54" ht="12.9" x14ac:dyDescent="0.5">
      <c r="A54" s="2" t="s">
        <v>222</v>
      </c>
      <c r="B54" s="2"/>
      <c r="C54" s="2"/>
      <c r="D54" s="2"/>
      <c r="E54" s="2"/>
      <c r="F54" s="2"/>
      <c r="G54" s="2"/>
      <c r="H54" s="2"/>
      <c r="I54" s="2"/>
      <c r="J54" s="2"/>
      <c r="K54" s="2"/>
      <c r="L54" s="2"/>
      <c r="M54" s="2"/>
      <c r="N54" s="2"/>
      <c r="O54" s="2"/>
      <c r="P54" s="2"/>
      <c r="Q54" s="2"/>
      <c r="R54" s="2"/>
      <c r="S54" s="94"/>
      <c r="T54" s="94"/>
      <c r="U54" s="94"/>
      <c r="V54" s="94"/>
      <c r="W54" s="94"/>
      <c r="X54" s="94"/>
      <c r="Y54" s="94"/>
      <c r="Z54" s="94">
        <v>2.3692100699999998</v>
      </c>
      <c r="AA54" s="94">
        <v>9.4002380799999994</v>
      </c>
      <c r="AB54" s="94">
        <v>14.88010938</v>
      </c>
      <c r="AC54" s="94">
        <v>13.28447866</v>
      </c>
      <c r="AD54" s="94">
        <v>58.621759240000003</v>
      </c>
      <c r="AE54" s="94">
        <v>51.454326029999997</v>
      </c>
      <c r="AF54" s="94">
        <v>9.1456357300000004</v>
      </c>
      <c r="AG54" s="94">
        <v>4.8997612300000002</v>
      </c>
      <c r="AH54" s="94">
        <v>2.093696</v>
      </c>
      <c r="AI54" s="94">
        <v>0.69253662999999999</v>
      </c>
      <c r="AJ54" s="94">
        <v>0.38810312000000002</v>
      </c>
      <c r="AK54" s="94">
        <v>0.31660832999999999</v>
      </c>
      <c r="AL54" s="94">
        <v>0.22589498999999999</v>
      </c>
      <c r="AM54" s="94">
        <v>0.18244626</v>
      </c>
      <c r="AN54" s="94">
        <v>0.15039113000000001</v>
      </c>
      <c r="AO54" s="94"/>
      <c r="AP54" s="28"/>
      <c r="AQ54" s="28"/>
      <c r="AR54" s="28"/>
      <c r="AS54" s="28"/>
      <c r="AT54" s="28"/>
      <c r="AU54" s="28"/>
      <c r="AV54" s="36">
        <f>SUMIFS($C54:$Z54,$C$7:$Z$7,AV$7)</f>
        <v>2.3692100699999998</v>
      </c>
      <c r="AW54" s="36">
        <f>SUMIFS($C54:$AD54,$C$7:$AD$7,AW$7)</f>
        <v>96.186585360000009</v>
      </c>
      <c r="AX54" s="36">
        <f>SUMIFS($C54:$AH54,$C$7:$AH$7,AX$7)</f>
        <v>67.593418989999989</v>
      </c>
      <c r="AY54" s="12">
        <f>SUMIFS($C54:$AL54,$C$7:$AL$7,AY$7)</f>
        <v>1.62314307</v>
      </c>
      <c r="AZ54" s="12"/>
      <c r="BA54" s="12"/>
      <c r="BB54" s="12"/>
    </row>
    <row r="55" spans="1:54" ht="12.9" x14ac:dyDescent="0.5">
      <c r="A55" s="2"/>
      <c r="B55" s="2"/>
      <c r="C55" s="2"/>
      <c r="D55" s="2"/>
      <c r="E55" s="2"/>
      <c r="F55" s="2"/>
      <c r="G55" s="2"/>
      <c r="H55" s="2"/>
      <c r="I55" s="2"/>
      <c r="J55" s="2"/>
      <c r="K55" s="2"/>
      <c r="L55" s="2"/>
      <c r="M55" s="2"/>
      <c r="N55" s="2"/>
      <c r="O55" s="38"/>
      <c r="P55" s="38"/>
      <c r="Q55" s="38"/>
      <c r="R55" s="38"/>
      <c r="S55" s="38"/>
      <c r="T55" s="38"/>
      <c r="U55" s="38"/>
      <c r="V55" s="38"/>
      <c r="W55" s="38"/>
      <c r="X55" s="38"/>
      <c r="Y55" s="38"/>
      <c r="Z55" s="38"/>
      <c r="AA55" s="38"/>
      <c r="AB55" s="38"/>
      <c r="AC55" s="38"/>
      <c r="AD55" s="38"/>
      <c r="AE55" s="38"/>
      <c r="AF55" s="38"/>
      <c r="AG55" s="38"/>
      <c r="AH55" s="38"/>
      <c r="AI55" s="38"/>
      <c r="AJ55" s="38"/>
      <c r="AK55" s="38"/>
      <c r="AL55" s="38"/>
      <c r="AM55" s="38"/>
      <c r="AN55" s="38"/>
      <c r="AO55" s="38"/>
      <c r="AP55" s="2"/>
      <c r="AQ55" s="2"/>
      <c r="AR55" s="2"/>
      <c r="AS55" s="2"/>
      <c r="AT55" s="12"/>
      <c r="AU55" s="12"/>
      <c r="AV55" s="12"/>
      <c r="AW55" s="12"/>
      <c r="AX55" s="12"/>
      <c r="AY55" s="12"/>
      <c r="AZ55" s="12"/>
      <c r="BA55" s="12"/>
      <c r="BB55" s="12"/>
    </row>
    <row r="56" spans="1:54" ht="12.9" x14ac:dyDescent="0.5">
      <c r="A56" s="2" t="s">
        <v>223</v>
      </c>
      <c r="B56" s="2"/>
      <c r="C56" s="2"/>
      <c r="D56" s="2"/>
      <c r="E56" s="2"/>
      <c r="F56" s="2"/>
      <c r="G56" s="2"/>
      <c r="H56" s="2"/>
      <c r="I56" s="2"/>
      <c r="J56" s="2"/>
      <c r="K56" s="2"/>
      <c r="L56" s="2"/>
      <c r="M56" s="2"/>
      <c r="N56" s="2"/>
      <c r="O56" s="38">
        <v>339</v>
      </c>
      <c r="P56" s="38">
        <v>390</v>
      </c>
      <c r="Q56" s="38">
        <v>405</v>
      </c>
      <c r="R56" s="38">
        <v>472</v>
      </c>
      <c r="S56" s="38">
        <v>508</v>
      </c>
      <c r="T56" s="38">
        <v>528</v>
      </c>
      <c r="U56" s="38">
        <v>563</v>
      </c>
      <c r="V56" s="38">
        <v>671</v>
      </c>
      <c r="W56" s="38">
        <v>548</v>
      </c>
      <c r="X56" s="38">
        <v>873</v>
      </c>
      <c r="Y56" s="38">
        <v>155</v>
      </c>
      <c r="Z56" s="38">
        <v>254</v>
      </c>
      <c r="AA56" s="38">
        <v>923</v>
      </c>
      <c r="AB56" s="38">
        <v>778</v>
      </c>
      <c r="AC56" s="38">
        <v>594</v>
      </c>
      <c r="AD56" s="38">
        <v>850</v>
      </c>
      <c r="AE56" s="38">
        <v>756</v>
      </c>
      <c r="AF56" s="38">
        <v>1010</v>
      </c>
      <c r="AG56" s="38">
        <v>1140</v>
      </c>
      <c r="AH56" s="38">
        <v>1160</v>
      </c>
      <c r="AI56" s="38">
        <v>1100</v>
      </c>
      <c r="AJ56" s="38">
        <v>1100</v>
      </c>
      <c r="AK56" s="38">
        <v>1170</v>
      </c>
      <c r="AL56" s="38">
        <v>1400</v>
      </c>
      <c r="AM56" s="38">
        <v>1320</v>
      </c>
      <c r="AN56" s="38">
        <v>1450</v>
      </c>
      <c r="AO56" s="38"/>
      <c r="AP56" s="2"/>
      <c r="AQ56" s="2"/>
      <c r="AR56" s="2"/>
      <c r="AS56" s="2"/>
      <c r="AT56" s="12">
        <f>SUMIFS($C56:$U56,$C$7:$U$7,AT$7)</f>
        <v>1606</v>
      </c>
      <c r="AU56" s="12">
        <f>SUMIFS($C56:$V56,$C$7:$V$7,AU$7)</f>
        <v>2270</v>
      </c>
      <c r="AV56" s="12">
        <f>SUMIFS($C56:$Z56,$C$7:$Z$7,AV$7)</f>
        <v>1830</v>
      </c>
      <c r="AW56" s="12">
        <f>SUMIFS($C56:$AD56,$C$7:$AD$7,AW$7)</f>
        <v>3145</v>
      </c>
      <c r="AX56" s="12">
        <f>SUMIFS($C56:$AH56,$C$7:$AH$7,AX$7)</f>
        <v>4066</v>
      </c>
      <c r="AY56" s="12">
        <v>4780</v>
      </c>
      <c r="AZ56" s="12"/>
      <c r="BA56" s="12"/>
      <c r="BB56" s="12"/>
    </row>
    <row r="57" spans="1:54" ht="12.9" x14ac:dyDescent="0.5">
      <c r="A57" s="56"/>
      <c r="B57" s="2"/>
      <c r="C57" s="2"/>
      <c r="D57" s="2"/>
      <c r="E57" s="2"/>
      <c r="F57" s="2"/>
      <c r="G57" s="2"/>
      <c r="H57" s="2"/>
      <c r="I57" s="2"/>
      <c r="J57" s="2"/>
      <c r="K57" s="2"/>
      <c r="L57" s="2"/>
      <c r="M57" s="2"/>
      <c r="N57" s="2"/>
      <c r="O57" s="2"/>
      <c r="P57" s="2"/>
      <c r="Q57" s="2"/>
      <c r="R57" s="2"/>
      <c r="S57" s="2"/>
      <c r="T57" s="36"/>
      <c r="U57" s="36"/>
      <c r="V57" s="36"/>
      <c r="W57" s="36"/>
      <c r="X57" s="36"/>
      <c r="Y57" s="36"/>
      <c r="Z57" s="36"/>
      <c r="AA57" s="36"/>
      <c r="AB57" s="36"/>
      <c r="AC57" s="36"/>
      <c r="AD57" s="36"/>
      <c r="AE57" s="36"/>
      <c r="AF57" s="36"/>
      <c r="AG57" s="36"/>
      <c r="AH57" s="36"/>
      <c r="AI57" s="36"/>
      <c r="AJ57" s="36"/>
      <c r="AK57" s="36"/>
      <c r="AL57" s="46"/>
      <c r="AM57" s="46"/>
      <c r="AN57" s="46"/>
      <c r="AO57" s="46"/>
      <c r="AP57" s="2"/>
      <c r="AQ57" s="2"/>
      <c r="AR57" s="2"/>
      <c r="AS57" s="2"/>
      <c r="AT57" s="2"/>
      <c r="AU57" s="2"/>
      <c r="AV57" s="12"/>
      <c r="AW57" s="12"/>
      <c r="AX57" s="12"/>
      <c r="AY57" s="12"/>
      <c r="AZ57" s="12"/>
      <c r="BA57" s="12"/>
      <c r="BB57" s="12"/>
    </row>
    <row r="58" spans="1:54" ht="12.9" x14ac:dyDescent="0.5">
      <c r="A58" s="7" t="s">
        <v>224</v>
      </c>
      <c r="B58" s="2"/>
      <c r="C58" s="2"/>
      <c r="D58" s="2"/>
      <c r="E58" s="2"/>
      <c r="F58" s="2"/>
      <c r="G58" s="2"/>
      <c r="H58" s="2"/>
      <c r="I58" s="2"/>
      <c r="J58" s="2"/>
      <c r="K58" s="2"/>
      <c r="L58" s="2"/>
      <c r="M58" s="2"/>
      <c r="N58" s="2"/>
      <c r="O58" s="2"/>
      <c r="P58" s="2"/>
      <c r="Q58" s="2"/>
      <c r="R58" s="2"/>
      <c r="S58" s="2"/>
      <c r="T58" s="36"/>
      <c r="U58" s="36"/>
      <c r="V58" s="36"/>
      <c r="W58" s="36"/>
      <c r="X58" s="36"/>
      <c r="Y58" s="36"/>
      <c r="Z58" s="36"/>
      <c r="AA58" s="36"/>
      <c r="AB58" s="36"/>
      <c r="AC58" s="36"/>
      <c r="AD58" s="36"/>
      <c r="AE58" s="36"/>
      <c r="AF58" s="36"/>
      <c r="AG58" s="36"/>
      <c r="AH58" s="36"/>
      <c r="AI58" s="36"/>
      <c r="AJ58" s="36"/>
      <c r="AK58" s="36"/>
      <c r="AL58" s="36"/>
      <c r="AM58" s="36"/>
      <c r="AN58" s="36"/>
      <c r="AO58" s="36"/>
      <c r="AP58" s="2"/>
      <c r="AQ58" s="2"/>
      <c r="AR58" s="2"/>
      <c r="AS58" s="2"/>
      <c r="AT58" s="2"/>
      <c r="AU58" s="2"/>
      <c r="AV58" s="12"/>
      <c r="AW58" s="12"/>
      <c r="AX58" s="12"/>
      <c r="AY58" s="30"/>
      <c r="AZ58" s="30"/>
      <c r="BA58" s="30"/>
      <c r="BB58" s="30"/>
    </row>
    <row r="59" spans="1:54" ht="12.9" x14ac:dyDescent="0.5">
      <c r="A59" s="2" t="s">
        <v>225</v>
      </c>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row>
    <row r="60" spans="1:54" ht="12.9" x14ac:dyDescent="0.5">
      <c r="A60" s="2" t="s">
        <v>226</v>
      </c>
      <c r="B60" s="2"/>
      <c r="C60" s="2"/>
      <c r="D60" s="2"/>
      <c r="E60" s="2"/>
      <c r="F60" s="2"/>
      <c r="G60" s="2"/>
      <c r="H60" s="2"/>
      <c r="I60" s="2"/>
      <c r="J60" s="2"/>
      <c r="K60" s="2"/>
      <c r="L60" s="2"/>
      <c r="M60" s="2"/>
      <c r="N60" s="2"/>
      <c r="O60" s="2"/>
      <c r="P60" s="2"/>
      <c r="Q60" s="2"/>
      <c r="R60" s="94">
        <v>15</v>
      </c>
      <c r="S60" s="2"/>
      <c r="T60" s="2"/>
      <c r="U60" s="2"/>
      <c r="V60" s="94">
        <v>24</v>
      </c>
      <c r="W60" s="2"/>
      <c r="X60" s="94">
        <v>30</v>
      </c>
      <c r="Y60" s="2"/>
      <c r="Z60" s="94">
        <v>36</v>
      </c>
      <c r="AA60" s="2"/>
      <c r="AB60" s="94">
        <v>40</v>
      </c>
      <c r="AC60" s="2"/>
      <c r="AD60" s="94">
        <v>44</v>
      </c>
      <c r="AE60" s="94">
        <v>46</v>
      </c>
      <c r="AF60" s="94">
        <v>47</v>
      </c>
      <c r="AG60" s="94">
        <v>49</v>
      </c>
      <c r="AH60" s="94">
        <v>51</v>
      </c>
      <c r="AI60" s="94">
        <v>53</v>
      </c>
      <c r="AJ60" s="94">
        <v>54</v>
      </c>
      <c r="AK60" s="94">
        <v>55</v>
      </c>
      <c r="AL60" s="94">
        <v>56</v>
      </c>
      <c r="AM60" s="94">
        <v>57</v>
      </c>
      <c r="AN60" s="94">
        <v>57</v>
      </c>
      <c r="AO60" s="94"/>
      <c r="AP60" s="2"/>
      <c r="AQ60" s="2"/>
      <c r="AR60" s="2"/>
      <c r="AS60" s="2"/>
      <c r="AT60" s="2"/>
      <c r="AU60" s="2"/>
      <c r="AV60" s="2"/>
      <c r="AW60" s="2"/>
      <c r="AX60" s="2"/>
      <c r="AY60" s="2"/>
      <c r="AZ60" s="2"/>
      <c r="BA60" s="2"/>
      <c r="BB60" s="2"/>
    </row>
    <row r="61" spans="1:54" ht="12.9" x14ac:dyDescent="0.5">
      <c r="A61" s="2" t="s">
        <v>227</v>
      </c>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38">
        <v>1052</v>
      </c>
      <c r="AF61" s="38">
        <v>1048</v>
      </c>
      <c r="AG61" s="38">
        <v>1046</v>
      </c>
      <c r="AH61" s="38">
        <v>1048</v>
      </c>
      <c r="AI61" s="38">
        <v>1136</v>
      </c>
      <c r="AJ61" s="38">
        <v>1134</v>
      </c>
      <c r="AK61" s="38">
        <v>1132</v>
      </c>
      <c r="AL61" s="38">
        <v>1137</v>
      </c>
      <c r="AM61" s="38">
        <v>1255</v>
      </c>
      <c r="AN61" s="38">
        <v>1243</v>
      </c>
      <c r="AO61" s="38"/>
      <c r="AP61" s="2"/>
      <c r="AQ61" s="2"/>
      <c r="AR61" s="2"/>
      <c r="AS61" s="2"/>
      <c r="AT61" s="2"/>
      <c r="AU61" s="2"/>
      <c r="AV61" s="2"/>
      <c r="AW61" s="2"/>
      <c r="AX61" s="2"/>
      <c r="AY61" s="2"/>
      <c r="AZ61" s="2"/>
      <c r="BA61" s="2"/>
      <c r="BB61" s="2"/>
    </row>
    <row r="62" spans="1:54" ht="12.9" x14ac:dyDescent="0.5">
      <c r="A62" s="2" t="s">
        <v>228</v>
      </c>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129">
        <v>1.1900000000000001E-2</v>
      </c>
      <c r="AF62" s="130"/>
      <c r="AG62" s="130"/>
      <c r="AH62" s="130"/>
      <c r="AI62" s="129">
        <v>1.41E-2</v>
      </c>
      <c r="AJ62" s="129">
        <v>1.44E-2</v>
      </c>
      <c r="AK62" s="129">
        <v>1.43E-2</v>
      </c>
      <c r="AL62" s="129">
        <v>1.4800000000000001E-2</v>
      </c>
      <c r="AM62" s="129">
        <v>1.4800000000000001E-2</v>
      </c>
      <c r="AN62" s="129">
        <v>1.5299999999999999E-2</v>
      </c>
      <c r="AO62" s="129"/>
      <c r="AP62" s="2"/>
      <c r="AQ62" s="2"/>
      <c r="AR62" s="2"/>
      <c r="AS62" s="2"/>
      <c r="AT62" s="2"/>
      <c r="AU62" s="2"/>
      <c r="AV62" s="2"/>
      <c r="AW62" s="2"/>
      <c r="AX62" s="2"/>
      <c r="AY62" s="2"/>
      <c r="AZ62" s="2"/>
      <c r="BA62" s="2"/>
      <c r="BB62" s="2"/>
    </row>
    <row r="63" spans="1:54" ht="12.9" x14ac:dyDescent="0.5">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row>
    <row r="64" spans="1:54" ht="12.9" x14ac:dyDescent="0.5">
      <c r="A64" s="2" t="s">
        <v>229</v>
      </c>
      <c r="B64" s="2"/>
      <c r="C64" s="2"/>
      <c r="D64" s="2"/>
      <c r="E64" s="2"/>
      <c r="F64" s="2"/>
      <c r="G64" s="2"/>
      <c r="H64" s="2"/>
      <c r="I64" s="2"/>
      <c r="J64" s="2"/>
      <c r="K64" s="2"/>
      <c r="L64" s="2"/>
      <c r="M64" s="2"/>
      <c r="N64" s="2"/>
      <c r="O64" s="2"/>
      <c r="P64" s="2"/>
      <c r="Q64" s="2"/>
      <c r="R64" s="2"/>
      <c r="S64" s="2"/>
      <c r="T64" s="131">
        <v>3.5</v>
      </c>
      <c r="U64" s="2"/>
      <c r="V64" s="2"/>
      <c r="W64" s="2"/>
      <c r="X64" s="94">
        <v>7</v>
      </c>
      <c r="Y64" s="2"/>
      <c r="Z64" s="2"/>
      <c r="AA64" s="94">
        <v>10</v>
      </c>
      <c r="AB64" s="94"/>
      <c r="AC64" s="2"/>
      <c r="AD64" s="94">
        <v>13</v>
      </c>
      <c r="AE64" s="94">
        <v>15</v>
      </c>
      <c r="AF64" s="247">
        <f>(AE64+AG64)/2</f>
        <v>16.5</v>
      </c>
      <c r="AG64" s="94">
        <v>18</v>
      </c>
      <c r="AH64" s="247">
        <f>(AG64+AI64)/2</f>
        <v>19</v>
      </c>
      <c r="AI64" s="94">
        <v>20</v>
      </c>
      <c r="AJ64" s="247">
        <v>21</v>
      </c>
      <c r="AK64" s="94">
        <v>22</v>
      </c>
      <c r="AL64" s="94">
        <v>23</v>
      </c>
      <c r="AM64" s="94">
        <v>24</v>
      </c>
      <c r="AN64" s="94">
        <v>24</v>
      </c>
      <c r="AO64" s="94"/>
      <c r="AP64" s="2"/>
      <c r="AQ64" s="2"/>
      <c r="AR64" s="2"/>
      <c r="AS64" s="2"/>
      <c r="AT64" s="2"/>
      <c r="AU64" s="2"/>
      <c r="AV64" s="2"/>
      <c r="AW64" s="2"/>
      <c r="AX64" s="2"/>
      <c r="AY64" s="2"/>
      <c r="AZ64" s="2"/>
      <c r="BA64" s="2"/>
      <c r="BB64" s="2"/>
    </row>
    <row r="65" spans="1:54" ht="12.9" x14ac:dyDescent="0.5">
      <c r="A65" s="2" t="s">
        <v>230</v>
      </c>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131">
        <v>1.5</v>
      </c>
      <c r="AF65" s="2"/>
      <c r="AG65" s="2"/>
      <c r="AH65" s="2"/>
      <c r="AI65" s="94">
        <v>2</v>
      </c>
      <c r="AJ65" s="2"/>
      <c r="AK65" s="2"/>
      <c r="AL65" s="2">
        <v>2</v>
      </c>
      <c r="AM65" s="2"/>
      <c r="AN65" s="2"/>
      <c r="AO65" s="2"/>
      <c r="AP65" s="2"/>
      <c r="AQ65" s="2"/>
      <c r="AR65" s="2"/>
      <c r="AS65" s="2"/>
      <c r="AT65" s="2"/>
      <c r="AU65" s="2"/>
      <c r="AV65" s="2"/>
      <c r="AW65" s="2"/>
      <c r="AX65" s="2"/>
      <c r="AY65" s="2"/>
      <c r="AZ65" s="2"/>
      <c r="BA65" s="2"/>
      <c r="BB65" s="2"/>
    </row>
    <row r="66" spans="1:54" ht="12.9" x14ac:dyDescent="0.5">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82">
        <f>AM64/AI64-1</f>
        <v>0.19999999999999996</v>
      </c>
      <c r="AN66" s="82">
        <f>AN64/AJ64-1</f>
        <v>0.14285714285714279</v>
      </c>
      <c r="AO66" s="2"/>
      <c r="AP66" s="2"/>
      <c r="AQ66" s="2"/>
      <c r="AR66" s="2"/>
      <c r="AS66" s="2"/>
      <c r="AT66" s="2"/>
      <c r="AU66" s="2"/>
      <c r="AV66" s="2"/>
      <c r="AW66" s="2"/>
      <c r="AX66" s="2"/>
      <c r="AY66" s="2"/>
      <c r="AZ66" s="2"/>
      <c r="BA66" s="2"/>
      <c r="BB66" s="2"/>
    </row>
    <row r="67" spans="1:54" ht="12.9" x14ac:dyDescent="0.5">
      <c r="A67" s="2" t="s">
        <v>231</v>
      </c>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145">
        <v>3500</v>
      </c>
      <c r="AF67" s="38">
        <v>5300</v>
      </c>
      <c r="AG67" s="38">
        <v>5400</v>
      </c>
      <c r="AH67" s="145">
        <v>7000</v>
      </c>
      <c r="AI67" s="38">
        <v>5600</v>
      </c>
      <c r="AJ67" s="38">
        <v>6400</v>
      </c>
      <c r="AK67" s="38">
        <v>6700</v>
      </c>
      <c r="AL67" s="38">
        <v>8600</v>
      </c>
      <c r="AM67" s="38">
        <v>6980</v>
      </c>
      <c r="AN67" s="38">
        <v>7750</v>
      </c>
      <c r="AO67" s="38"/>
      <c r="AP67" s="2"/>
      <c r="AQ67" s="2"/>
      <c r="AR67" s="2"/>
      <c r="AS67" s="2"/>
      <c r="AT67" s="2"/>
      <c r="AU67" s="2"/>
      <c r="AV67" s="2"/>
      <c r="AW67" s="2"/>
      <c r="AX67" s="2"/>
      <c r="AY67" s="2"/>
      <c r="AZ67" s="2"/>
      <c r="BA67" s="2"/>
      <c r="BB67" s="2"/>
    </row>
    <row r="68" spans="1:54" ht="12.9" x14ac:dyDescent="0.5">
      <c r="A68" s="56" t="s">
        <v>192</v>
      </c>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129"/>
      <c r="AF68" s="78">
        <v>0.13</v>
      </c>
      <c r="AG68" s="78">
        <v>0.1</v>
      </c>
      <c r="AH68" s="78">
        <v>0.14000000000000001</v>
      </c>
      <c r="AI68" s="78">
        <v>0.17</v>
      </c>
      <c r="AJ68" s="78">
        <v>0.22</v>
      </c>
      <c r="AK68" s="78">
        <v>0.24</v>
      </c>
      <c r="AL68" s="78">
        <v>0.25</v>
      </c>
      <c r="AM68" s="78">
        <v>0.25</v>
      </c>
      <c r="AN68" s="78">
        <v>0.21</v>
      </c>
      <c r="AO68" s="78"/>
      <c r="AP68" s="2"/>
      <c r="AQ68" s="2"/>
      <c r="AR68" s="2"/>
      <c r="AS68" s="2"/>
      <c r="AT68" s="2"/>
      <c r="AU68" s="2"/>
      <c r="AV68" s="2"/>
      <c r="AW68" s="2"/>
      <c r="AX68" s="2"/>
      <c r="AY68" s="2"/>
      <c r="AZ68" s="2"/>
      <c r="BA68" s="2"/>
      <c r="BB68" s="2"/>
    </row>
    <row r="69" spans="1:54" ht="12.9" x14ac:dyDescent="0.5">
      <c r="A69" s="2" t="s">
        <v>232</v>
      </c>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129">
        <v>1.17E-2</v>
      </c>
      <c r="AF69" s="129">
        <v>1.0200000000000001E-2</v>
      </c>
      <c r="AG69" s="129">
        <v>9.5999999999999992E-3</v>
      </c>
      <c r="AH69" s="146">
        <v>0.01</v>
      </c>
      <c r="AI69" s="129">
        <v>7.0000000000000001E-3</v>
      </c>
      <c r="AJ69" s="129">
        <v>1.01E-2</v>
      </c>
      <c r="AK69" s="129">
        <v>8.3999999999999995E-3</v>
      </c>
      <c r="AL69" s="129">
        <v>0.01</v>
      </c>
      <c r="AM69" s="129">
        <v>8.0000000000000002E-3</v>
      </c>
      <c r="AN69" s="129">
        <v>7.9000000000000008E-3</v>
      </c>
      <c r="AO69" s="129"/>
      <c r="AP69" s="2"/>
      <c r="AQ69" s="2"/>
      <c r="AR69" s="2"/>
      <c r="AS69" s="2"/>
      <c r="AT69" s="2"/>
      <c r="AU69" s="2"/>
      <c r="AV69" s="2"/>
      <c r="AW69" s="2"/>
      <c r="AX69" s="2"/>
      <c r="AY69" s="2"/>
      <c r="AZ69" s="2"/>
      <c r="BA69" s="2"/>
      <c r="BB69" s="2"/>
    </row>
    <row r="70" spans="1:54" ht="12.9" x14ac:dyDescent="0.5">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row>
    <row r="71" spans="1:54" ht="27.9" x14ac:dyDescent="0.5">
      <c r="A71" s="132" t="s">
        <v>233</v>
      </c>
      <c r="AU71" s="2"/>
      <c r="AV71" s="2"/>
    </row>
    <row r="72" spans="1:54" ht="79.5" x14ac:dyDescent="0.5">
      <c r="A72" s="132" t="s">
        <v>234</v>
      </c>
      <c r="AU72" s="2"/>
      <c r="AV72" s="2"/>
    </row>
    <row r="73" spans="1:54" ht="72.900000000000006" x14ac:dyDescent="0.5">
      <c r="A73" s="64" t="s">
        <v>159</v>
      </c>
    </row>
    <row r="74" spans="1:54" ht="126.9" x14ac:dyDescent="0.5">
      <c r="A74" s="64" t="s">
        <v>235</v>
      </c>
    </row>
    <row r="75" spans="1:54" ht="108.9" x14ac:dyDescent="0.5">
      <c r="A75" s="64" t="s">
        <v>236</v>
      </c>
    </row>
    <row r="76" spans="1:54" ht="153.9" x14ac:dyDescent="0.5">
      <c r="A76" s="64" t="s">
        <v>237</v>
      </c>
    </row>
    <row r="77" spans="1:54" ht="12.9" x14ac:dyDescent="0.5">
      <c r="A77" s="64"/>
    </row>
  </sheetData>
  <mergeCells count="11">
    <mergeCell ref="AA4:AD4"/>
    <mergeCell ref="AE4:AH4"/>
    <mergeCell ref="AI4:AL4"/>
    <mergeCell ref="AQ4:AY4"/>
    <mergeCell ref="BA4:BB4"/>
    <mergeCell ref="W4:Z4"/>
    <mergeCell ref="C4:F4"/>
    <mergeCell ref="G4:J4"/>
    <mergeCell ref="K4:N4"/>
    <mergeCell ref="O4:R4"/>
    <mergeCell ref="S4:V4"/>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671F1-F9B1-42AC-8A75-B2AEAC936177}">
  <sheetPr>
    <outlinePr summaryBelow="0" summaryRight="0"/>
    <pageSetUpPr fitToPage="1"/>
  </sheetPr>
  <dimension ref="A1:BA64"/>
  <sheetViews>
    <sheetView showGridLines="0" topLeftCell="A32" workbookViewId="0">
      <pane xSplit="1" topLeftCell="AL1" activePane="topRight" state="frozen"/>
      <selection pane="topRight" activeCell="AR52" sqref="AR52"/>
    </sheetView>
  </sheetViews>
  <sheetFormatPr defaultColWidth="12" defaultRowHeight="15.75" customHeight="1" outlineLevelRow="1" outlineLevelCol="1" x14ac:dyDescent="0.5"/>
  <cols>
    <col min="1" max="1" width="37.1015625" style="3" customWidth="1"/>
    <col min="2" max="2" width="3.9453125" style="3" customWidth="1" collapsed="1"/>
    <col min="3" max="14" width="9.62890625" style="3" hidden="1" customWidth="1" outlineLevel="1"/>
    <col min="15" max="19" width="9.62890625" style="3" customWidth="1"/>
    <col min="20" max="30" width="10.41796875" style="3" customWidth="1"/>
    <col min="31" max="40" width="10.734375" style="3" customWidth="1"/>
    <col min="41" max="41" width="6" style="3" customWidth="1"/>
    <col min="42" max="47" width="10.734375" style="3" customWidth="1"/>
    <col min="48" max="50" width="11.5234375" style="3" customWidth="1"/>
    <col min="51" max="51" width="6" style="3" customWidth="1"/>
    <col min="52" max="53" width="11.5234375" style="3" customWidth="1"/>
    <col min="54" max="16384" width="12" style="3"/>
  </cols>
  <sheetData>
    <row r="1" spans="1:53" ht="12.9" x14ac:dyDescent="0.5">
      <c r="A1" s="1" t="s">
        <v>0</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row>
    <row r="2" spans="1:53" ht="12.9" x14ac:dyDescent="0.5">
      <c r="A2" s="70" t="s">
        <v>88</v>
      </c>
      <c r="B2" s="2"/>
      <c r="C2" s="2"/>
      <c r="D2" s="2"/>
      <c r="E2" s="2"/>
      <c r="F2" s="2"/>
      <c r="G2" s="2"/>
      <c r="H2" s="2"/>
      <c r="I2" s="2"/>
      <c r="J2" s="2"/>
      <c r="K2" s="2"/>
      <c r="L2" s="2"/>
      <c r="M2" s="2"/>
      <c r="N2" s="2"/>
      <c r="O2" s="2"/>
      <c r="P2" s="2"/>
      <c r="Q2" s="2"/>
      <c r="R2" s="2"/>
      <c r="S2" s="71"/>
      <c r="T2" s="2"/>
      <c r="U2" s="2"/>
      <c r="V2" s="2"/>
      <c r="W2" s="2"/>
      <c r="X2" s="2"/>
      <c r="Y2" s="2"/>
      <c r="Z2" s="2"/>
      <c r="AA2" s="2"/>
      <c r="AB2" s="2"/>
      <c r="AC2" s="2"/>
      <c r="AD2" s="2"/>
      <c r="AE2" s="72"/>
      <c r="AF2" s="72"/>
      <c r="AG2" s="72"/>
      <c r="AH2" s="72"/>
      <c r="AI2" s="72"/>
      <c r="AJ2" s="72"/>
      <c r="AK2" s="72"/>
      <c r="AL2" s="72"/>
      <c r="AM2" s="72"/>
      <c r="AN2" s="72"/>
      <c r="AO2" s="72"/>
      <c r="AP2" s="2"/>
      <c r="AQ2" s="2"/>
      <c r="AR2" s="2"/>
      <c r="AS2" s="2"/>
      <c r="AT2" s="2"/>
      <c r="AU2" s="2"/>
      <c r="AV2" s="72"/>
      <c r="AW2" s="72"/>
      <c r="AX2" s="72"/>
      <c r="AY2" s="72"/>
      <c r="AZ2" s="2"/>
      <c r="BA2" s="2"/>
    </row>
    <row r="3" spans="1:53" ht="12.9" x14ac:dyDescent="0.5">
      <c r="A3" s="4" t="s">
        <v>2</v>
      </c>
      <c r="B3" s="2"/>
      <c r="AE3" s="72"/>
      <c r="AF3" s="72"/>
      <c r="AG3" s="72"/>
      <c r="AH3" s="72"/>
      <c r="AI3" s="72"/>
      <c r="AJ3" s="72"/>
      <c r="AK3" s="72"/>
      <c r="AL3" s="72"/>
      <c r="AM3" s="72"/>
      <c r="AN3" s="72"/>
      <c r="AO3" s="72"/>
      <c r="AP3" s="2"/>
      <c r="AQ3" s="2"/>
      <c r="AR3" s="2"/>
      <c r="AS3" s="2"/>
      <c r="AT3" s="2"/>
      <c r="AU3" s="2"/>
      <c r="AV3" s="72"/>
      <c r="AW3" s="72"/>
      <c r="AX3" s="72"/>
      <c r="AY3" s="72"/>
      <c r="AZ3" s="2"/>
      <c r="BA3" s="2"/>
    </row>
    <row r="4" spans="1:53" ht="25.8" collapsed="1" x14ac:dyDescent="0.5">
      <c r="A4" s="4" t="s">
        <v>89</v>
      </c>
      <c r="B4" s="2"/>
      <c r="C4" s="364" t="s">
        <v>4</v>
      </c>
      <c r="D4" s="365"/>
      <c r="E4" s="365"/>
      <c r="F4" s="365"/>
      <c r="G4" s="364" t="s">
        <v>4</v>
      </c>
      <c r="H4" s="365"/>
      <c r="I4" s="365"/>
      <c r="J4" s="365"/>
      <c r="K4" s="364" t="s">
        <v>4</v>
      </c>
      <c r="L4" s="365"/>
      <c r="M4" s="365"/>
      <c r="N4" s="365"/>
      <c r="O4" s="364" t="s">
        <v>4</v>
      </c>
      <c r="P4" s="365"/>
      <c r="Q4" s="365"/>
      <c r="R4" s="365"/>
      <c r="S4" s="364" t="s">
        <v>4</v>
      </c>
      <c r="T4" s="365"/>
      <c r="U4" s="365"/>
      <c r="V4" s="365"/>
      <c r="W4" s="364" t="s">
        <v>4</v>
      </c>
      <c r="X4" s="365"/>
      <c r="Y4" s="365"/>
      <c r="Z4" s="365"/>
      <c r="AA4" s="366" t="s">
        <v>4</v>
      </c>
      <c r="AB4" s="365"/>
      <c r="AC4" s="365"/>
      <c r="AD4" s="365"/>
      <c r="AE4" s="366" t="s">
        <v>4</v>
      </c>
      <c r="AF4" s="365"/>
      <c r="AG4" s="365"/>
      <c r="AH4" s="365"/>
      <c r="AI4" s="366" t="s">
        <v>4</v>
      </c>
      <c r="AJ4" s="365"/>
      <c r="AK4" s="365"/>
      <c r="AL4" s="365"/>
      <c r="AM4" s="6" t="s">
        <v>4</v>
      </c>
      <c r="AN4" s="249"/>
      <c r="AO4" s="2"/>
      <c r="AP4" s="364" t="s">
        <v>5</v>
      </c>
      <c r="AQ4" s="365"/>
      <c r="AR4" s="365"/>
      <c r="AS4" s="365"/>
      <c r="AT4" s="365"/>
      <c r="AU4" s="365"/>
      <c r="AV4" s="365"/>
      <c r="AW4" s="365"/>
      <c r="AX4" s="365"/>
      <c r="AY4" s="2"/>
      <c r="AZ4" s="364" t="s">
        <v>6</v>
      </c>
      <c r="BA4" s="365"/>
    </row>
    <row r="5" spans="1:53" ht="12.9" hidden="1" outlineLevel="1" x14ac:dyDescent="0.5">
      <c r="A5" s="7"/>
      <c r="B5" s="7"/>
      <c r="C5" s="73">
        <v>42094</v>
      </c>
      <c r="D5" s="9">
        <f t="shared" ref="D5:U5" si="0">EOMONTH(C5,3)</f>
        <v>42185</v>
      </c>
      <c r="E5" s="9">
        <f t="shared" si="0"/>
        <v>42277</v>
      </c>
      <c r="F5" s="9">
        <f t="shared" si="0"/>
        <v>42369</v>
      </c>
      <c r="G5" s="9">
        <f t="shared" si="0"/>
        <v>42460</v>
      </c>
      <c r="H5" s="9">
        <f t="shared" si="0"/>
        <v>42551</v>
      </c>
      <c r="I5" s="9">
        <f t="shared" si="0"/>
        <v>42643</v>
      </c>
      <c r="J5" s="9">
        <f t="shared" si="0"/>
        <v>42735</v>
      </c>
      <c r="K5" s="9">
        <f t="shared" si="0"/>
        <v>42825</v>
      </c>
      <c r="L5" s="9">
        <f t="shared" si="0"/>
        <v>42916</v>
      </c>
      <c r="M5" s="9">
        <f t="shared" si="0"/>
        <v>43008</v>
      </c>
      <c r="N5" s="9">
        <f t="shared" si="0"/>
        <v>43100</v>
      </c>
      <c r="O5" s="9">
        <f t="shared" si="0"/>
        <v>43190</v>
      </c>
      <c r="P5" s="9">
        <f t="shared" si="0"/>
        <v>43281</v>
      </c>
      <c r="Q5" s="9">
        <f t="shared" si="0"/>
        <v>43373</v>
      </c>
      <c r="R5" s="9">
        <f t="shared" si="0"/>
        <v>43465</v>
      </c>
      <c r="S5" s="9">
        <f t="shared" si="0"/>
        <v>43555</v>
      </c>
      <c r="T5" s="9">
        <f t="shared" si="0"/>
        <v>43646</v>
      </c>
      <c r="U5" s="9">
        <f t="shared" si="0"/>
        <v>43738</v>
      </c>
      <c r="V5" s="9">
        <v>43830</v>
      </c>
      <c r="W5" s="9">
        <v>43921</v>
      </c>
      <c r="X5" s="9">
        <v>44012</v>
      </c>
      <c r="Y5" s="9">
        <v>44104</v>
      </c>
      <c r="Z5" s="9">
        <v>44196</v>
      </c>
      <c r="AA5" s="9">
        <v>44286</v>
      </c>
      <c r="AB5" s="9">
        <v>44377</v>
      </c>
      <c r="AC5" s="9">
        <v>44469</v>
      </c>
      <c r="AD5" s="9">
        <f>EOMONTH(AC5,3)</f>
        <v>44561</v>
      </c>
      <c r="AE5" s="10">
        <v>44651</v>
      </c>
      <c r="AF5" s="10">
        <v>44742</v>
      </c>
      <c r="AG5" s="10">
        <v>44834</v>
      </c>
      <c r="AH5" s="10">
        <v>44926</v>
      </c>
      <c r="AI5" s="10">
        <v>45016</v>
      </c>
      <c r="AJ5" s="10">
        <v>45107</v>
      </c>
      <c r="AK5" s="10">
        <v>45199</v>
      </c>
      <c r="AL5" s="10">
        <v>45291</v>
      </c>
      <c r="AM5" s="10">
        <v>45382</v>
      </c>
      <c r="AN5" s="10"/>
      <c r="AO5" s="7"/>
      <c r="AP5" s="1"/>
      <c r="AQ5" s="1"/>
      <c r="AR5" s="1"/>
      <c r="AS5" s="1"/>
      <c r="AT5" s="1"/>
      <c r="AU5" s="1"/>
      <c r="AV5" s="7"/>
      <c r="AW5" s="7"/>
      <c r="AX5" s="7"/>
      <c r="AY5" s="7"/>
      <c r="AZ5" s="10">
        <v>45016</v>
      </c>
      <c r="BA5" s="10">
        <v>45382</v>
      </c>
    </row>
    <row r="6" spans="1:53" ht="12.9" x14ac:dyDescent="0.5">
      <c r="A6" s="7"/>
      <c r="B6" s="7"/>
      <c r="C6" s="11" t="s">
        <v>7</v>
      </c>
      <c r="D6" s="11" t="s">
        <v>8</v>
      </c>
      <c r="E6" s="11" t="s">
        <v>9</v>
      </c>
      <c r="F6" s="11" t="s">
        <v>10</v>
      </c>
      <c r="G6" s="11" t="s">
        <v>7</v>
      </c>
      <c r="H6" s="11" t="s">
        <v>8</v>
      </c>
      <c r="I6" s="11" t="s">
        <v>9</v>
      </c>
      <c r="J6" s="11" t="s">
        <v>10</v>
      </c>
      <c r="K6" s="11" t="s">
        <v>7</v>
      </c>
      <c r="L6" s="11" t="s">
        <v>8</v>
      </c>
      <c r="M6" s="11" t="s">
        <v>9</v>
      </c>
      <c r="N6" s="11" t="s">
        <v>10</v>
      </c>
      <c r="O6" s="11" t="s">
        <v>7</v>
      </c>
      <c r="P6" s="11" t="s">
        <v>8</v>
      </c>
      <c r="Q6" s="11" t="s">
        <v>9</v>
      </c>
      <c r="R6" s="11" t="s">
        <v>10</v>
      </c>
      <c r="S6" s="11" t="s">
        <v>7</v>
      </c>
      <c r="T6" s="11" t="s">
        <v>8</v>
      </c>
      <c r="U6" s="11" t="s">
        <v>9</v>
      </c>
      <c r="V6" s="11" t="s">
        <v>10</v>
      </c>
      <c r="W6" s="11" t="s">
        <v>7</v>
      </c>
      <c r="X6" s="11" t="s">
        <v>8</v>
      </c>
      <c r="Y6" s="11" t="s">
        <v>9</v>
      </c>
      <c r="Z6" s="11" t="s">
        <v>10</v>
      </c>
      <c r="AA6" s="11" t="s">
        <v>7</v>
      </c>
      <c r="AB6" s="11" t="s">
        <v>8</v>
      </c>
      <c r="AC6" s="11" t="s">
        <v>9</v>
      </c>
      <c r="AD6" s="11" t="s">
        <v>10</v>
      </c>
      <c r="AE6" s="11" t="s">
        <v>7</v>
      </c>
      <c r="AF6" s="11" t="s">
        <v>8</v>
      </c>
      <c r="AG6" s="11" t="s">
        <v>9</v>
      </c>
      <c r="AH6" s="11" t="s">
        <v>10</v>
      </c>
      <c r="AI6" s="11" t="s">
        <v>7</v>
      </c>
      <c r="AJ6" s="11" t="s">
        <v>8</v>
      </c>
      <c r="AK6" s="11" t="s">
        <v>9</v>
      </c>
      <c r="AL6" s="11" t="s">
        <v>10</v>
      </c>
      <c r="AM6" s="11" t="s">
        <v>7</v>
      </c>
      <c r="AN6" s="11" t="s">
        <v>8</v>
      </c>
      <c r="AO6" s="7"/>
      <c r="AP6" s="1" t="s">
        <v>10</v>
      </c>
      <c r="AQ6" s="1" t="s">
        <v>10</v>
      </c>
      <c r="AR6" s="1" t="s">
        <v>10</v>
      </c>
      <c r="AS6" s="1" t="s">
        <v>10</v>
      </c>
      <c r="AT6" s="1" t="s">
        <v>10</v>
      </c>
      <c r="AU6" s="1" t="s">
        <v>10</v>
      </c>
      <c r="AV6" s="1" t="s">
        <v>10</v>
      </c>
      <c r="AW6" s="1" t="s">
        <v>10</v>
      </c>
      <c r="AX6" s="1" t="s">
        <v>10</v>
      </c>
      <c r="AY6" s="7"/>
      <c r="AZ6" s="11" t="s">
        <v>7</v>
      </c>
      <c r="BA6" s="11" t="s">
        <v>7</v>
      </c>
    </row>
    <row r="7" spans="1:53" ht="12.9" x14ac:dyDescent="0.5">
      <c r="A7" s="7"/>
      <c r="B7" s="7"/>
      <c r="C7" s="1">
        <v>2015</v>
      </c>
      <c r="D7" s="1">
        <v>2015</v>
      </c>
      <c r="E7" s="1">
        <v>2015</v>
      </c>
      <c r="F7" s="1">
        <v>2015</v>
      </c>
      <c r="G7" s="1">
        <v>2016</v>
      </c>
      <c r="H7" s="1">
        <v>2016</v>
      </c>
      <c r="I7" s="1">
        <v>2016</v>
      </c>
      <c r="J7" s="1">
        <v>2016</v>
      </c>
      <c r="K7" s="1">
        <v>2017</v>
      </c>
      <c r="L7" s="1">
        <v>2017</v>
      </c>
      <c r="M7" s="1">
        <v>2017</v>
      </c>
      <c r="N7" s="1">
        <v>2017</v>
      </c>
      <c r="O7" s="1">
        <v>2018</v>
      </c>
      <c r="P7" s="1">
        <v>2018</v>
      </c>
      <c r="Q7" s="1">
        <v>2018</v>
      </c>
      <c r="R7" s="1">
        <v>2018</v>
      </c>
      <c r="S7" s="1">
        <v>2019</v>
      </c>
      <c r="T7" s="1">
        <v>2019</v>
      </c>
      <c r="U7" s="1">
        <v>2019</v>
      </c>
      <c r="V7" s="1">
        <v>2019</v>
      </c>
      <c r="W7" s="1">
        <v>2020</v>
      </c>
      <c r="X7" s="1">
        <v>2020</v>
      </c>
      <c r="Y7" s="1">
        <v>2020</v>
      </c>
      <c r="Z7" s="1">
        <v>2020</v>
      </c>
      <c r="AA7" s="1">
        <v>2021</v>
      </c>
      <c r="AB7" s="1">
        <v>2021</v>
      </c>
      <c r="AC7" s="1">
        <v>2021</v>
      </c>
      <c r="AD7" s="1">
        <v>2021</v>
      </c>
      <c r="AE7" s="1">
        <v>2022</v>
      </c>
      <c r="AF7" s="1">
        <v>2022</v>
      </c>
      <c r="AG7" s="1">
        <v>2022</v>
      </c>
      <c r="AH7" s="1">
        <v>2022</v>
      </c>
      <c r="AI7" s="1">
        <v>2023</v>
      </c>
      <c r="AJ7" s="1">
        <v>2023</v>
      </c>
      <c r="AK7" s="1">
        <v>2023</v>
      </c>
      <c r="AL7" s="1">
        <f>AK7</f>
        <v>2023</v>
      </c>
      <c r="AM7" s="1">
        <v>2024</v>
      </c>
      <c r="AN7" s="1">
        <v>2024</v>
      </c>
      <c r="AO7" s="7"/>
      <c r="AP7" s="1">
        <v>2015</v>
      </c>
      <c r="AQ7" s="1">
        <v>2016</v>
      </c>
      <c r="AR7" s="1">
        <v>2017</v>
      </c>
      <c r="AS7" s="1">
        <v>2018</v>
      </c>
      <c r="AT7" s="1">
        <v>2019</v>
      </c>
      <c r="AU7" s="1">
        <v>2020</v>
      </c>
      <c r="AV7" s="1">
        <v>2021</v>
      </c>
      <c r="AW7" s="1">
        <v>2022</v>
      </c>
      <c r="AX7" s="1">
        <f>AL7</f>
        <v>2023</v>
      </c>
      <c r="AY7" s="7"/>
      <c r="AZ7" s="1">
        <v>2023</v>
      </c>
      <c r="BA7" s="1">
        <v>2024</v>
      </c>
    </row>
    <row r="8" spans="1:53" ht="12.9" x14ac:dyDescent="0.5">
      <c r="A8" s="7" t="s">
        <v>90</v>
      </c>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row>
    <row r="9" spans="1:53" ht="12.9" x14ac:dyDescent="0.5">
      <c r="A9" s="2" t="s">
        <v>91</v>
      </c>
      <c r="B9" s="2"/>
      <c r="C9" s="38">
        <v>211110</v>
      </c>
      <c r="D9" s="38">
        <v>259864</v>
      </c>
      <c r="E9" s="38">
        <v>280955</v>
      </c>
      <c r="F9" s="38">
        <v>298516</v>
      </c>
      <c r="G9" s="38">
        <v>300453</v>
      </c>
      <c r="H9" s="38">
        <v>364864</v>
      </c>
      <c r="I9" s="38">
        <v>388347</v>
      </c>
      <c r="J9" s="38">
        <v>402496</v>
      </c>
      <c r="K9" s="38">
        <v>403478</v>
      </c>
      <c r="L9" s="38">
        <v>482065</v>
      </c>
      <c r="M9" s="38">
        <v>510019</v>
      </c>
      <c r="N9" s="38">
        <v>524612</v>
      </c>
      <c r="O9" s="38">
        <v>523037</v>
      </c>
      <c r="P9" s="38">
        <v>625228</v>
      </c>
      <c r="Q9" s="38">
        <v>655384</v>
      </c>
      <c r="R9" s="38">
        <v>667802</v>
      </c>
      <c r="S9" s="38">
        <v>656762</v>
      </c>
      <c r="T9" s="38">
        <v>775510</v>
      </c>
      <c r="U9" s="38">
        <v>816622</v>
      </c>
      <c r="V9" s="38">
        <v>832180</v>
      </c>
      <c r="W9" s="38">
        <v>758101</v>
      </c>
      <c r="X9" s="38">
        <v>682572</v>
      </c>
      <c r="Y9" s="38">
        <v>925294</v>
      </c>
      <c r="Z9" s="38">
        <v>929011</v>
      </c>
      <c r="AA9" s="38">
        <v>959733</v>
      </c>
      <c r="AB9" s="38">
        <v>1227472</v>
      </c>
      <c r="AC9" s="38">
        <v>1297040</v>
      </c>
      <c r="AD9" s="38">
        <v>1308901</v>
      </c>
      <c r="AE9" s="38">
        <v>1232969</v>
      </c>
      <c r="AF9" s="38">
        <v>1475707</v>
      </c>
      <c r="AG9" s="38">
        <v>1517890</v>
      </c>
      <c r="AH9" s="38">
        <v>1474974</v>
      </c>
      <c r="AI9" s="38">
        <v>1422705</v>
      </c>
      <c r="AJ9" s="38">
        <v>1637654</v>
      </c>
      <c r="AK9" s="38">
        <v>1658668</v>
      </c>
      <c r="AL9" s="38">
        <v>1596274</v>
      </c>
      <c r="AM9" s="38">
        <v>1511209</v>
      </c>
      <c r="AN9" s="38">
        <v>1712967</v>
      </c>
      <c r="AO9" s="2"/>
      <c r="AP9" s="12">
        <f t="shared" ref="AP9:AT13" si="1">SUMIFS($C9:$V9,$C$7:$V$7,AP$7)</f>
        <v>1050445</v>
      </c>
      <c r="AQ9" s="12">
        <f t="shared" si="1"/>
        <v>1456160</v>
      </c>
      <c r="AR9" s="12">
        <f t="shared" si="1"/>
        <v>1920174</v>
      </c>
      <c r="AS9" s="12">
        <f t="shared" si="1"/>
        <v>2471451</v>
      </c>
      <c r="AT9" s="12">
        <f t="shared" si="1"/>
        <v>3081074</v>
      </c>
      <c r="AU9" s="12">
        <f>SUMIFS($C9:$Z9,$C$7:$Z$7,AU$7)</f>
        <v>3294978</v>
      </c>
      <c r="AV9" s="12">
        <f>SUMIFS($C9:$AD9,$C$7:$AD$7,AV$7)</f>
        <v>4793146</v>
      </c>
      <c r="AW9" s="12">
        <f>SUMIFS($C9:$AH9,$C$7:$AH$7,AW$7)</f>
        <v>5701540</v>
      </c>
      <c r="AX9" s="12">
        <f>SUMIFS($C9:$AL9,$C$7:$AL$7,AX$7)</f>
        <v>6315301</v>
      </c>
      <c r="AY9" s="2"/>
      <c r="AZ9" s="12">
        <f>SUMIFS($C9:$AM9,$C$5:$AM$5,"&lt;="&amp;AZ$5,$C$5:$AM$5,"&gt;"&amp;EOMONTH(AZ$5,-12))</f>
        <v>5891276</v>
      </c>
      <c r="BA9" s="12">
        <f>SUMIFS($C9:$AM9,$C$5:$AM$5,"&lt;="&amp;BA$5,$C$5:$AM$5,"&gt;"&amp;EOMONTH(BA$5,-12))</f>
        <v>6403805</v>
      </c>
    </row>
    <row r="10" spans="1:53" ht="12.9" x14ac:dyDescent="0.5">
      <c r="A10" s="13" t="s">
        <v>12</v>
      </c>
      <c r="B10" s="13"/>
      <c r="C10" s="14">
        <v>29237</v>
      </c>
      <c r="D10" s="14">
        <v>33630</v>
      </c>
      <c r="E10" s="14">
        <v>32332</v>
      </c>
      <c r="F10" s="14">
        <v>47084</v>
      </c>
      <c r="G10" s="14">
        <v>38838</v>
      </c>
      <c r="H10" s="14">
        <v>32867</v>
      </c>
      <c r="I10" s="14">
        <v>7164</v>
      </c>
      <c r="J10" s="14">
        <v>34</v>
      </c>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3"/>
      <c r="AP10" s="15">
        <f t="shared" si="1"/>
        <v>142283</v>
      </c>
      <c r="AQ10" s="15">
        <f t="shared" si="1"/>
        <v>78903</v>
      </c>
      <c r="AR10" s="15"/>
      <c r="AS10" s="15"/>
      <c r="AT10" s="15"/>
      <c r="AU10" s="15"/>
      <c r="AV10" s="15"/>
      <c r="AW10" s="15"/>
      <c r="AX10" s="15"/>
      <c r="AY10" s="13"/>
      <c r="AZ10" s="15"/>
      <c r="BA10" s="15"/>
    </row>
    <row r="11" spans="1:53" ht="12.9" x14ac:dyDescent="0.5">
      <c r="A11" s="2" t="s">
        <v>92</v>
      </c>
      <c r="B11" s="2"/>
      <c r="C11" s="16">
        <v>8006</v>
      </c>
      <c r="D11" s="16">
        <v>12928</v>
      </c>
      <c r="E11" s="16">
        <v>14694</v>
      </c>
      <c r="F11" s="16">
        <v>22385</v>
      </c>
      <c r="G11" s="16">
        <v>23796</v>
      </c>
      <c r="H11" s="16">
        <v>29717</v>
      </c>
      <c r="I11" s="16">
        <v>35320</v>
      </c>
      <c r="J11" s="16">
        <v>40518</v>
      </c>
      <c r="K11" s="16">
        <v>49060</v>
      </c>
      <c r="L11" s="16">
        <v>59151</v>
      </c>
      <c r="M11" s="16">
        <v>65051</v>
      </c>
      <c r="N11" s="16">
        <v>79402</v>
      </c>
      <c r="O11" s="16">
        <v>97054</v>
      </c>
      <c r="P11" s="16">
        <v>134332</v>
      </c>
      <c r="Q11" s="16">
        <v>166203</v>
      </c>
      <c r="R11" s="16">
        <v>194117</v>
      </c>
      <c r="S11" s="16">
        <v>218857</v>
      </c>
      <c r="T11" s="16">
        <v>251383</v>
      </c>
      <c r="U11" s="16">
        <v>279801</v>
      </c>
      <c r="V11" s="16">
        <v>281415</v>
      </c>
      <c r="W11" s="16">
        <v>296235</v>
      </c>
      <c r="X11" s="16">
        <v>346275</v>
      </c>
      <c r="Y11" s="16">
        <v>447522</v>
      </c>
      <c r="Z11" s="16">
        <v>449371</v>
      </c>
      <c r="AA11" s="16">
        <v>557681</v>
      </c>
      <c r="AB11" s="16">
        <v>685178</v>
      </c>
      <c r="AC11" s="16">
        <v>694770</v>
      </c>
      <c r="AD11" s="16">
        <v>772102</v>
      </c>
      <c r="AE11" s="16">
        <v>959557</v>
      </c>
      <c r="AF11" s="16">
        <v>1094856</v>
      </c>
      <c r="AG11" s="16">
        <v>1191511</v>
      </c>
      <c r="AH11" s="16">
        <v>1306849</v>
      </c>
      <c r="AI11" s="16">
        <v>1366224</v>
      </c>
      <c r="AJ11" s="16">
        <v>1461497</v>
      </c>
      <c r="AK11" s="16">
        <v>1492900</v>
      </c>
      <c r="AL11" s="16">
        <v>1624221</v>
      </c>
      <c r="AM11" s="16">
        <v>1682294</v>
      </c>
      <c r="AN11" s="16">
        <v>1787893</v>
      </c>
      <c r="AO11" s="2"/>
      <c r="AP11" s="17">
        <f t="shared" si="1"/>
        <v>58013</v>
      </c>
      <c r="AQ11" s="17">
        <f t="shared" si="1"/>
        <v>129351</v>
      </c>
      <c r="AR11" s="17">
        <f t="shared" si="1"/>
        <v>252664</v>
      </c>
      <c r="AS11" s="17">
        <f t="shared" si="1"/>
        <v>591706</v>
      </c>
      <c r="AT11" s="17">
        <f t="shared" si="1"/>
        <v>1031456</v>
      </c>
      <c r="AU11" s="17">
        <f>SUMIFS($C11:$Z11,$C$7:$Z$7,AU$7)</f>
        <v>1539403</v>
      </c>
      <c r="AV11" s="17">
        <f>SUMIFS($C11:$AD11,$C$7:$AD$7,AV$7)</f>
        <v>2709731</v>
      </c>
      <c r="AW11" s="17">
        <f>SUMIFS($C11:$AH11,$C$7:$AH$7,AW$7)</f>
        <v>4552773</v>
      </c>
      <c r="AX11" s="17">
        <f>SUMIFS($C11:$AL11,$C$7:$AL$7,AX$7)</f>
        <v>5944842</v>
      </c>
      <c r="AY11" s="2"/>
      <c r="AZ11" s="17">
        <f t="shared" ref="AZ11:BA14" si="2">SUMIFS($C11:$AM11,$C$5:$AM$5,"&lt;="&amp;AZ$5,$C$5:$AM$5,"&gt;"&amp;EOMONTH(AZ$5,-12))</f>
        <v>4959440</v>
      </c>
      <c r="BA11" s="17">
        <f t="shared" si="2"/>
        <v>6260912</v>
      </c>
    </row>
    <row r="12" spans="1:53" ht="12.9" x14ac:dyDescent="0.5">
      <c r="A12" s="2" t="s">
        <v>93</v>
      </c>
      <c r="B12" s="2"/>
      <c r="C12" s="16">
        <v>2204</v>
      </c>
      <c r="D12" s="16">
        <v>3591</v>
      </c>
      <c r="E12" s="16">
        <v>4207</v>
      </c>
      <c r="F12" s="16">
        <v>6375</v>
      </c>
      <c r="G12" s="16">
        <v>16182</v>
      </c>
      <c r="H12" s="16">
        <v>11085</v>
      </c>
      <c r="I12" s="16">
        <v>8171</v>
      </c>
      <c r="J12" s="16">
        <v>8869</v>
      </c>
      <c r="K12" s="16">
        <v>9016</v>
      </c>
      <c r="L12" s="16">
        <v>10289</v>
      </c>
      <c r="M12" s="16">
        <v>10089</v>
      </c>
      <c r="N12" s="16">
        <v>12021</v>
      </c>
      <c r="O12" s="16">
        <v>14417</v>
      </c>
      <c r="P12" s="16">
        <v>18362</v>
      </c>
      <c r="Q12" s="16">
        <v>17558</v>
      </c>
      <c r="R12" s="16">
        <v>18166</v>
      </c>
      <c r="S12" s="16">
        <v>18212</v>
      </c>
      <c r="T12" s="16">
        <v>22260</v>
      </c>
      <c r="U12" s="16">
        <v>21766</v>
      </c>
      <c r="V12" s="16">
        <v>22267</v>
      </c>
      <c r="W12" s="16">
        <v>20675</v>
      </c>
      <c r="X12" s="16">
        <v>19322</v>
      </c>
      <c r="Y12" s="16">
        <v>27294</v>
      </c>
      <c r="Z12" s="16">
        <v>24363</v>
      </c>
      <c r="AA12" s="16">
        <v>28788</v>
      </c>
      <c r="AB12" s="16">
        <v>43726</v>
      </c>
      <c r="AC12" s="16">
        <v>37255</v>
      </c>
      <c r="AD12" s="16">
        <v>35910</v>
      </c>
      <c r="AE12" s="16">
        <v>37326</v>
      </c>
      <c r="AF12" s="16">
        <v>48051</v>
      </c>
      <c r="AG12" s="16">
        <v>43388</v>
      </c>
      <c r="AH12" s="16">
        <v>35653</v>
      </c>
      <c r="AI12" s="16">
        <v>37451</v>
      </c>
      <c r="AJ12" s="16">
        <v>44922</v>
      </c>
      <c r="AK12" s="16">
        <v>42341</v>
      </c>
      <c r="AL12" s="16">
        <v>32464</v>
      </c>
      <c r="AM12" s="16">
        <v>32501</v>
      </c>
      <c r="AN12" s="16">
        <v>42960</v>
      </c>
      <c r="AO12" s="2"/>
      <c r="AP12" s="17">
        <f t="shared" si="1"/>
        <v>16377</v>
      </c>
      <c r="AQ12" s="17">
        <f t="shared" si="1"/>
        <v>44307</v>
      </c>
      <c r="AR12" s="17">
        <f t="shared" si="1"/>
        <v>41415</v>
      </c>
      <c r="AS12" s="17">
        <f t="shared" si="1"/>
        <v>68503</v>
      </c>
      <c r="AT12" s="17">
        <f t="shared" si="1"/>
        <v>84505</v>
      </c>
      <c r="AU12" s="17">
        <f>SUMIFS($C12:$Z12,$C$7:$Z$7,AU$7)</f>
        <v>91654</v>
      </c>
      <c r="AV12" s="17">
        <f>SUMIFS($C12:$AD12,$C$7:$AD$7,AV$7)</f>
        <v>145679</v>
      </c>
      <c r="AW12" s="17">
        <f>SUMIFS($C12:$AH12,$C$7:$AH$7,AW$7)</f>
        <v>164418</v>
      </c>
      <c r="AX12" s="17">
        <f>SUMIFS($C12:$AL12,$C$7:$AL$7,AX$7)</f>
        <v>157178</v>
      </c>
      <c r="AY12" s="2"/>
      <c r="AZ12" s="17">
        <f t="shared" si="2"/>
        <v>164543</v>
      </c>
      <c r="BA12" s="17">
        <f t="shared" si="2"/>
        <v>152228</v>
      </c>
    </row>
    <row r="13" spans="1:53" ht="12.9" x14ac:dyDescent="0.5">
      <c r="A13" s="2" t="s">
        <v>94</v>
      </c>
      <c r="B13" s="2"/>
      <c r="C13" s="16"/>
      <c r="D13" s="16"/>
      <c r="E13" s="16"/>
      <c r="F13" s="16"/>
      <c r="G13" s="16"/>
      <c r="H13" s="16"/>
      <c r="I13" s="16"/>
      <c r="J13" s="16"/>
      <c r="K13" s="16"/>
      <c r="L13" s="16"/>
      <c r="M13" s="16"/>
      <c r="N13" s="16"/>
      <c r="O13" s="16">
        <v>34095</v>
      </c>
      <c r="P13" s="16">
        <v>37016</v>
      </c>
      <c r="Q13" s="16">
        <v>42963</v>
      </c>
      <c r="R13" s="16">
        <v>52443</v>
      </c>
      <c r="S13" s="16">
        <v>65528</v>
      </c>
      <c r="T13" s="16">
        <v>125085</v>
      </c>
      <c r="U13" s="16">
        <v>148285</v>
      </c>
      <c r="V13" s="16">
        <v>177567</v>
      </c>
      <c r="W13" s="16">
        <v>306098</v>
      </c>
      <c r="X13" s="16">
        <v>875456</v>
      </c>
      <c r="Y13" s="16">
        <v>1633764</v>
      </c>
      <c r="Z13" s="16">
        <v>1756225</v>
      </c>
      <c r="AA13" s="16">
        <v>3511068</v>
      </c>
      <c r="AB13" s="16">
        <v>2724296</v>
      </c>
      <c r="AC13" s="16">
        <v>1815662</v>
      </c>
      <c r="AD13" s="16">
        <v>1961621</v>
      </c>
      <c r="AE13" s="16">
        <v>1730793</v>
      </c>
      <c r="AF13" s="16">
        <v>1785885</v>
      </c>
      <c r="AG13" s="16">
        <v>1762752</v>
      </c>
      <c r="AH13" s="16">
        <v>1833426</v>
      </c>
      <c r="AI13" s="16">
        <v>2163751</v>
      </c>
      <c r="AJ13" s="16">
        <v>2390884</v>
      </c>
      <c r="AK13" s="16">
        <v>2423584</v>
      </c>
      <c r="AL13" s="16">
        <v>2520083</v>
      </c>
      <c r="AM13" s="16">
        <v>2731124</v>
      </c>
      <c r="AN13" s="16">
        <v>2611743</v>
      </c>
      <c r="AO13" s="2"/>
      <c r="AP13" s="17"/>
      <c r="AQ13" s="17"/>
      <c r="AR13" s="17"/>
      <c r="AS13" s="17">
        <f t="shared" si="1"/>
        <v>166517</v>
      </c>
      <c r="AT13" s="17">
        <f t="shared" si="1"/>
        <v>516465</v>
      </c>
      <c r="AU13" s="17">
        <f>SUMIFS($C13:$Z13,$C$7:$Z$7,AU$7)</f>
        <v>4571543</v>
      </c>
      <c r="AV13" s="17">
        <f>SUMIFS($C13:$AD13,$C$7:$AD$7,AV$7)</f>
        <v>10012647</v>
      </c>
      <c r="AW13" s="17">
        <f>SUMIFS($C13:$AH13,$C$7:$AH$7,AW$7)</f>
        <v>7112856</v>
      </c>
      <c r="AX13" s="17">
        <f>SUMIFS($C13:$AL13,$C$7:$AL$7,AX$7)</f>
        <v>9498302</v>
      </c>
      <c r="AY13" s="2"/>
      <c r="AZ13" s="17">
        <f t="shared" si="2"/>
        <v>7545814</v>
      </c>
      <c r="BA13" s="17">
        <f t="shared" si="2"/>
        <v>10065675</v>
      </c>
    </row>
    <row r="14" spans="1:53" ht="12.9" x14ac:dyDescent="0.5">
      <c r="A14" s="7" t="s">
        <v>95</v>
      </c>
      <c r="B14" s="2"/>
      <c r="C14" s="20">
        <f t="shared" ref="C14:AK14" si="3">SUM(C9:C13)</f>
        <v>250557</v>
      </c>
      <c r="D14" s="20">
        <f t="shared" si="3"/>
        <v>310013</v>
      </c>
      <c r="E14" s="20">
        <f t="shared" si="3"/>
        <v>332188</v>
      </c>
      <c r="F14" s="20">
        <f t="shared" si="3"/>
        <v>374360</v>
      </c>
      <c r="G14" s="20">
        <f t="shared" si="3"/>
        <v>379269</v>
      </c>
      <c r="H14" s="20">
        <f t="shared" si="3"/>
        <v>438533</v>
      </c>
      <c r="I14" s="20">
        <f t="shared" si="3"/>
        <v>439002</v>
      </c>
      <c r="J14" s="20">
        <f t="shared" si="3"/>
        <v>451917</v>
      </c>
      <c r="K14" s="20">
        <f t="shared" si="3"/>
        <v>461554</v>
      </c>
      <c r="L14" s="20">
        <f t="shared" si="3"/>
        <v>551505</v>
      </c>
      <c r="M14" s="20">
        <f t="shared" si="3"/>
        <v>585159</v>
      </c>
      <c r="N14" s="20">
        <f t="shared" si="3"/>
        <v>616035</v>
      </c>
      <c r="O14" s="20">
        <f t="shared" si="3"/>
        <v>668603</v>
      </c>
      <c r="P14" s="20">
        <f t="shared" si="3"/>
        <v>814938</v>
      </c>
      <c r="Q14" s="20">
        <f t="shared" si="3"/>
        <v>882108</v>
      </c>
      <c r="R14" s="20">
        <f t="shared" si="3"/>
        <v>932528</v>
      </c>
      <c r="S14" s="20">
        <f t="shared" si="3"/>
        <v>959359</v>
      </c>
      <c r="T14" s="20">
        <f t="shared" si="3"/>
        <v>1174238</v>
      </c>
      <c r="U14" s="20">
        <f t="shared" si="3"/>
        <v>1266474</v>
      </c>
      <c r="V14" s="20">
        <f t="shared" si="3"/>
        <v>1313429</v>
      </c>
      <c r="W14" s="20">
        <f t="shared" si="3"/>
        <v>1381109</v>
      </c>
      <c r="X14" s="20">
        <f t="shared" si="3"/>
        <v>1923625</v>
      </c>
      <c r="Y14" s="20">
        <f t="shared" si="3"/>
        <v>3033874</v>
      </c>
      <c r="Z14" s="20">
        <f t="shared" si="3"/>
        <v>3158970</v>
      </c>
      <c r="AA14" s="20">
        <f t="shared" si="3"/>
        <v>5057270</v>
      </c>
      <c r="AB14" s="20">
        <f t="shared" si="3"/>
        <v>4680672</v>
      </c>
      <c r="AC14" s="20">
        <f t="shared" si="3"/>
        <v>3844727</v>
      </c>
      <c r="AD14" s="20">
        <f t="shared" si="3"/>
        <v>4078534</v>
      </c>
      <c r="AE14" s="20">
        <f t="shared" si="3"/>
        <v>3960645</v>
      </c>
      <c r="AF14" s="20">
        <f t="shared" si="3"/>
        <v>4404499</v>
      </c>
      <c r="AG14" s="20">
        <f t="shared" si="3"/>
        <v>4515541</v>
      </c>
      <c r="AH14" s="20">
        <f t="shared" si="3"/>
        <v>4650902</v>
      </c>
      <c r="AI14" s="20">
        <f t="shared" si="3"/>
        <v>4990131</v>
      </c>
      <c r="AJ14" s="20">
        <f t="shared" si="3"/>
        <v>5534957</v>
      </c>
      <c r="AK14" s="20">
        <f t="shared" si="3"/>
        <v>5617493</v>
      </c>
      <c r="AL14" s="20">
        <v>5773042</v>
      </c>
      <c r="AM14" s="20">
        <f>SUM(AM9:AM13)</f>
        <v>5957128</v>
      </c>
      <c r="AN14" s="20">
        <v>6155563</v>
      </c>
      <c r="AO14" s="7"/>
      <c r="AP14" s="20">
        <f>SUMIFS($C14:$V14,$C$7:$V$7,AP$7)</f>
        <v>1267118</v>
      </c>
      <c r="AQ14" s="20">
        <f>SUMIFS($C14:$V14,$C$7:$V$7,AQ$7)</f>
        <v>1708721</v>
      </c>
      <c r="AR14" s="20">
        <f>SUMIFS($C14:$V14,$C$7:$V$7,AR$7)</f>
        <v>2214253</v>
      </c>
      <c r="AS14" s="20">
        <f>SUMIFS($C14:$V14,$C$7:$V$7,AS$7)</f>
        <v>3298177</v>
      </c>
      <c r="AT14" s="20">
        <f>SUMIFS($C14:$V14,$C$7:$V$7,AT$7)</f>
        <v>4713500</v>
      </c>
      <c r="AU14" s="20">
        <f>SUMIFS($C14:$Z14,$C$7:$Z$7,AU$7)</f>
        <v>9497578</v>
      </c>
      <c r="AV14" s="20">
        <f>SUMIFS($C14:$AD14,$C$7:$AD$7,AV$7)</f>
        <v>17661203</v>
      </c>
      <c r="AW14" s="20">
        <f>SUMIFS($C14:$AH14,$C$7:$AH$7,AW$7)</f>
        <v>17531587</v>
      </c>
      <c r="AX14" s="20">
        <f>SUMIFS($C14:$AL14,$C$7:$AL$7,AX$7)</f>
        <v>21915623</v>
      </c>
      <c r="AY14" s="7"/>
      <c r="AZ14" s="20">
        <f t="shared" si="2"/>
        <v>18561073</v>
      </c>
      <c r="BA14" s="20">
        <f t="shared" si="2"/>
        <v>22882620</v>
      </c>
    </row>
    <row r="15" spans="1:53" ht="12.9" x14ac:dyDescent="0.5">
      <c r="A15" s="2"/>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row>
    <row r="16" spans="1:53" ht="12.9" x14ac:dyDescent="0.5">
      <c r="A16" s="7" t="s">
        <v>96</v>
      </c>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row>
    <row r="17" spans="1:53" ht="12.9" x14ac:dyDescent="0.5">
      <c r="A17" s="2" t="s">
        <v>13</v>
      </c>
      <c r="B17" s="2"/>
      <c r="C17" s="38">
        <v>132107</v>
      </c>
      <c r="D17" s="38">
        <v>165823</v>
      </c>
      <c r="E17" s="38">
        <v>182007</v>
      </c>
      <c r="F17" s="38">
        <v>192730</v>
      </c>
      <c r="G17" s="38">
        <v>194276</v>
      </c>
      <c r="H17" s="38">
        <v>234857</v>
      </c>
      <c r="I17" s="38">
        <v>254061</v>
      </c>
      <c r="J17" s="38">
        <v>260006</v>
      </c>
      <c r="K17" s="38">
        <v>257778</v>
      </c>
      <c r="L17" s="38">
        <v>311092</v>
      </c>
      <c r="M17" s="38">
        <v>328043</v>
      </c>
      <c r="N17" s="38">
        <v>333377</v>
      </c>
      <c r="O17" s="38">
        <v>327911</v>
      </c>
      <c r="P17" s="38">
        <v>395349</v>
      </c>
      <c r="Q17" s="38">
        <v>414456</v>
      </c>
      <c r="R17" s="38">
        <v>420846</v>
      </c>
      <c r="S17" s="38">
        <v>409210</v>
      </c>
      <c r="T17" s="38">
        <v>490490</v>
      </c>
      <c r="U17" s="38">
        <v>519453</v>
      </c>
      <c r="V17" s="38">
        <v>519381</v>
      </c>
      <c r="W17" s="38">
        <v>466466</v>
      </c>
      <c r="X17" s="38">
        <v>389136</v>
      </c>
      <c r="Y17" s="38">
        <v>524056</v>
      </c>
      <c r="Z17" s="38">
        <v>536986</v>
      </c>
      <c r="AA17" s="38">
        <v>524281</v>
      </c>
      <c r="AB17" s="38">
        <v>682348</v>
      </c>
      <c r="AC17" s="38">
        <v>751794</v>
      </c>
      <c r="AD17" s="38">
        <v>761079</v>
      </c>
      <c r="AE17" s="38">
        <v>716236</v>
      </c>
      <c r="AF17" s="38">
        <v>875762</v>
      </c>
      <c r="AG17" s="38">
        <v>901990</v>
      </c>
      <c r="AH17" s="38">
        <v>870040</v>
      </c>
      <c r="AI17" s="38">
        <v>820787</v>
      </c>
      <c r="AJ17" s="38">
        <v>950523</v>
      </c>
      <c r="AK17" s="38">
        <v>984658</v>
      </c>
      <c r="AL17" s="38">
        <v>946048</v>
      </c>
      <c r="AM17" s="38">
        <v>873165</v>
      </c>
      <c r="AN17" s="38">
        <v>1000055</v>
      </c>
      <c r="AO17" s="2"/>
      <c r="AP17" s="12">
        <f>SUMIFS($C17:$V17,$C$7:$V$7,AP$7)</f>
        <v>672667</v>
      </c>
      <c r="AQ17" s="12">
        <f>SUMIFS($C17:$V17,$C$7:$V$7,AQ$7)</f>
        <v>943200</v>
      </c>
      <c r="AR17" s="12">
        <f>SUMIFS($C17:$V17,$C$7:$V$7,AR$7)</f>
        <v>1230290</v>
      </c>
      <c r="AS17" s="12">
        <f>SUMIFS($C17:$V17,$C$7:$V$7,AS$7)</f>
        <v>1558562</v>
      </c>
      <c r="AT17" s="12">
        <f>SUMIFS($C17:$V17,$C$7:$V$7,AT$7)</f>
        <v>1938534</v>
      </c>
      <c r="AU17" s="12">
        <f>SUMIFS($C17:$Z17,$C$7:$Z$7,AU$7)</f>
        <v>1916644</v>
      </c>
      <c r="AV17" s="12">
        <f>SUMIFS($C17:$AD17,$C$7:$AD$7,AV$7)</f>
        <v>2719502</v>
      </c>
      <c r="AW17" s="12">
        <f>SUMIFS($C17:$AH17,$C$7:$AH$7,AW$7)</f>
        <v>3364028</v>
      </c>
      <c r="AX17" s="12">
        <f>SUMIFS($C17:$AL17,$C$7:$AL$7,AX$7)</f>
        <v>3702016</v>
      </c>
      <c r="AY17" s="2"/>
      <c r="AZ17" s="12">
        <f>SUMIFS($C17:$AM17,$C$5:$AM$5,"&lt;="&amp;AZ$5,$C$5:$AM$5,"&gt;"&amp;EOMONTH(AZ$5,-12))</f>
        <v>3468579</v>
      </c>
      <c r="BA17" s="12">
        <f>SUMIFS($C17:$AM17,$C$5:$AM$5,"&lt;="&amp;BA$5,$C$5:$AM$5,"&gt;"&amp;EOMONTH(BA$5,-12))</f>
        <v>3754394</v>
      </c>
    </row>
    <row r="18" spans="1:53" ht="12.9" x14ac:dyDescent="0.5">
      <c r="A18" s="13" t="s">
        <v>42</v>
      </c>
      <c r="B18" s="13"/>
      <c r="C18" s="14">
        <v>36211</v>
      </c>
      <c r="D18" s="14">
        <v>40921</v>
      </c>
      <c r="E18" s="14">
        <v>41410</v>
      </c>
      <c r="F18" s="14">
        <v>46896</v>
      </c>
      <c r="G18" s="14">
        <v>36610</v>
      </c>
      <c r="H18" s="14">
        <v>28672</v>
      </c>
      <c r="I18" s="14">
        <v>4528</v>
      </c>
      <c r="J18" s="14">
        <v>-49</v>
      </c>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3"/>
      <c r="AP18" s="15">
        <f t="shared" ref="AP18:AS19" si="4">SUMIFS($C18:$U18,$C$7:$U$7,AP$7)</f>
        <v>165438</v>
      </c>
      <c r="AQ18" s="15">
        <f t="shared" si="4"/>
        <v>69761</v>
      </c>
      <c r="AR18" s="15"/>
      <c r="AS18" s="15"/>
      <c r="AT18" s="15"/>
      <c r="AU18" s="15"/>
      <c r="AV18" s="15"/>
      <c r="AW18" s="15"/>
      <c r="AX18" s="15"/>
      <c r="AY18" s="15"/>
      <c r="AZ18" s="15"/>
      <c r="BA18" s="15"/>
    </row>
    <row r="19" spans="1:53" ht="12.9" x14ac:dyDescent="0.5">
      <c r="A19" s="2" t="s">
        <v>97</v>
      </c>
      <c r="B19" s="2"/>
      <c r="C19" s="16">
        <v>3155</v>
      </c>
      <c r="D19" s="16">
        <v>5072</v>
      </c>
      <c r="E19" s="16">
        <v>5593</v>
      </c>
      <c r="F19" s="16">
        <v>8650</v>
      </c>
      <c r="G19" s="16">
        <v>9033</v>
      </c>
      <c r="H19" s="16">
        <v>10144</v>
      </c>
      <c r="I19" s="16">
        <v>12524</v>
      </c>
      <c r="J19" s="16">
        <v>11431</v>
      </c>
      <c r="K19" s="16">
        <v>15876</v>
      </c>
      <c r="L19" s="16">
        <v>17116</v>
      </c>
      <c r="M19" s="16">
        <v>18169</v>
      </c>
      <c r="N19" s="16">
        <v>24559</v>
      </c>
      <c r="O19" s="16">
        <v>30368</v>
      </c>
      <c r="P19" s="16">
        <v>39784</v>
      </c>
      <c r="Q19" s="16">
        <v>47078</v>
      </c>
      <c r="R19" s="16">
        <v>52654</v>
      </c>
      <c r="S19" s="16">
        <v>61174</v>
      </c>
      <c r="T19" s="16">
        <v>61113</v>
      </c>
      <c r="U19" s="16">
        <v>64561</v>
      </c>
      <c r="V19" s="16">
        <v>51472</v>
      </c>
      <c r="W19" s="16">
        <v>41908</v>
      </c>
      <c r="X19" s="16">
        <v>51365</v>
      </c>
      <c r="Y19" s="16">
        <v>68528</v>
      </c>
      <c r="Z19" s="16">
        <v>66848</v>
      </c>
      <c r="AA19" s="16">
        <v>88572</v>
      </c>
      <c r="AB19" s="16">
        <v>120810</v>
      </c>
      <c r="AC19" s="16">
        <v>128177</v>
      </c>
      <c r="AD19" s="16">
        <v>145497</v>
      </c>
      <c r="AE19" s="16">
        <v>182857</v>
      </c>
      <c r="AF19" s="16">
        <v>213271</v>
      </c>
      <c r="AG19" s="16">
        <v>225903</v>
      </c>
      <c r="AH19" s="16">
        <v>239714</v>
      </c>
      <c r="AI19" s="16">
        <v>264092</v>
      </c>
      <c r="AJ19" s="16">
        <v>279223</v>
      </c>
      <c r="AK19" s="16">
        <v>259262</v>
      </c>
      <c r="AL19" s="16">
        <v>272552</v>
      </c>
      <c r="AM19" s="16">
        <v>269668</v>
      </c>
      <c r="AN19" s="16">
        <v>291801</v>
      </c>
      <c r="AO19" s="2"/>
      <c r="AP19" s="17">
        <f>SUMIFS($C19:$V19,$C$7:$V$7,AP$7)</f>
        <v>22470</v>
      </c>
      <c r="AQ19" s="17">
        <f t="shared" si="4"/>
        <v>43132</v>
      </c>
      <c r="AR19" s="17">
        <f t="shared" si="4"/>
        <v>75720</v>
      </c>
      <c r="AS19" s="17">
        <f t="shared" si="4"/>
        <v>169884</v>
      </c>
      <c r="AT19" s="17">
        <f t="shared" ref="AT19:AT24" si="5">SUMIFS($C19:$V19,$C$7:$V$7,AT$7)</f>
        <v>238320</v>
      </c>
      <c r="AU19" s="17">
        <f t="shared" ref="AU19:AU24" si="6">SUMIFS($C19:$Z19,$C$7:$Z$7,AU$7)</f>
        <v>228649</v>
      </c>
      <c r="AV19" s="17">
        <f>SUMIFS($C19:$AD19,$C$7:$AD$7,AV$7)</f>
        <v>483056</v>
      </c>
      <c r="AW19" s="17">
        <f t="shared" ref="AW19:AW24" si="7">SUMIFS($C19:$AH19,$C$7:$AH$7,AW$7)</f>
        <v>861745</v>
      </c>
      <c r="AX19" s="17">
        <f t="shared" ref="AX19:AX24" si="8">SUMIFS($C19:$AL19,$C$7:$AL$7,AX$7)</f>
        <v>1075129</v>
      </c>
      <c r="AY19" s="2"/>
      <c r="AZ19" s="17">
        <f t="shared" ref="AZ19:BA24" si="9">SUMIFS($C19:$AM19,$C$5:$AM$5,"&lt;="&amp;AZ$5,$C$5:$AM$5,"&gt;"&amp;EOMONTH(AZ$5,-12))</f>
        <v>942980</v>
      </c>
      <c r="BA19" s="17">
        <f t="shared" si="9"/>
        <v>1080705</v>
      </c>
    </row>
    <row r="20" spans="1:53" ht="12.9" x14ac:dyDescent="0.5">
      <c r="A20" s="2" t="s">
        <v>98</v>
      </c>
      <c r="B20" s="2"/>
      <c r="C20" s="16">
        <v>4197</v>
      </c>
      <c r="D20" s="16">
        <v>6713</v>
      </c>
      <c r="E20" s="16">
        <v>5726</v>
      </c>
      <c r="F20" s="16">
        <v>14238</v>
      </c>
      <c r="G20" s="16">
        <v>26740</v>
      </c>
      <c r="H20" s="16">
        <v>14015</v>
      </c>
      <c r="I20" s="16">
        <v>15689</v>
      </c>
      <c r="J20" s="16">
        <v>12118</v>
      </c>
      <c r="K20" s="16">
        <v>12662</v>
      </c>
      <c r="L20" s="16">
        <v>14173</v>
      </c>
      <c r="M20" s="16">
        <v>18775</v>
      </c>
      <c r="N20" s="16">
        <v>16783</v>
      </c>
      <c r="O20" s="16">
        <v>19702</v>
      </c>
      <c r="P20" s="16">
        <v>25536</v>
      </c>
      <c r="Q20" s="16">
        <v>23229</v>
      </c>
      <c r="R20" s="16">
        <v>25647</v>
      </c>
      <c r="S20" s="16">
        <v>27525</v>
      </c>
      <c r="T20" s="16">
        <v>33852</v>
      </c>
      <c r="U20" s="16">
        <v>36256</v>
      </c>
      <c r="V20" s="16">
        <v>41089</v>
      </c>
      <c r="W20" s="16">
        <v>34808</v>
      </c>
      <c r="X20" s="16">
        <v>28320</v>
      </c>
      <c r="Y20" s="16">
        <v>45220</v>
      </c>
      <c r="Z20" s="16">
        <v>35994</v>
      </c>
      <c r="AA20" s="16">
        <v>40482</v>
      </c>
      <c r="AB20" s="16">
        <v>61403</v>
      </c>
      <c r="AC20" s="16">
        <v>51150</v>
      </c>
      <c r="AD20" s="16">
        <v>68150</v>
      </c>
      <c r="AE20" s="16">
        <v>63664</v>
      </c>
      <c r="AF20" s="16">
        <v>83494</v>
      </c>
      <c r="AG20" s="16">
        <v>76002</v>
      </c>
      <c r="AH20" s="16">
        <v>63835</v>
      </c>
      <c r="AI20" s="16">
        <v>58785</v>
      </c>
      <c r="AJ20" s="16">
        <v>74085</v>
      </c>
      <c r="AK20" s="16">
        <v>78338</v>
      </c>
      <c r="AL20" s="16">
        <v>56442</v>
      </c>
      <c r="AM20" s="16">
        <v>50785</v>
      </c>
      <c r="AN20" s="16">
        <v>68309</v>
      </c>
      <c r="AO20" s="2"/>
      <c r="AP20" s="17">
        <f>SUMIFS($C20:$U20,$C$7:$U$7,AP$7)</f>
        <v>30874</v>
      </c>
      <c r="AQ20" s="17">
        <f>SUMIFS($C20:$U20,$C$7:$U$7,AQ$7)</f>
        <v>68562</v>
      </c>
      <c r="AR20" s="17">
        <f>SUMIFS($C20:$U20,$C$7:$U$7,AR$7)</f>
        <v>62393</v>
      </c>
      <c r="AS20" s="17">
        <f>SUMIFS($C20:$U20,$C$7:$U$7,AS$7)</f>
        <v>94114</v>
      </c>
      <c r="AT20" s="17">
        <f t="shared" si="5"/>
        <v>138722</v>
      </c>
      <c r="AU20" s="17">
        <f t="shared" si="6"/>
        <v>144342</v>
      </c>
      <c r="AV20" s="17">
        <f>SUMIFS($C20:$AD20,$C$7:$AD$7,AV$7)</f>
        <v>221185</v>
      </c>
      <c r="AW20" s="17">
        <f t="shared" si="7"/>
        <v>286995</v>
      </c>
      <c r="AX20" s="17">
        <f t="shared" si="8"/>
        <v>267650</v>
      </c>
      <c r="AY20" s="2"/>
      <c r="AZ20" s="17">
        <f t="shared" si="9"/>
        <v>282116</v>
      </c>
      <c r="BA20" s="17">
        <f t="shared" si="9"/>
        <v>259650</v>
      </c>
    </row>
    <row r="21" spans="1:53" ht="12.9" x14ac:dyDescent="0.5">
      <c r="A21" s="2" t="s">
        <v>14</v>
      </c>
      <c r="B21" s="2"/>
      <c r="C21" s="16"/>
      <c r="D21" s="16"/>
      <c r="E21" s="16"/>
      <c r="F21" s="16"/>
      <c r="G21" s="16"/>
      <c r="H21" s="16"/>
      <c r="I21" s="16"/>
      <c r="J21" s="16"/>
      <c r="K21" s="16"/>
      <c r="L21" s="16"/>
      <c r="M21" s="16"/>
      <c r="N21" s="16"/>
      <c r="O21" s="16">
        <v>33872</v>
      </c>
      <c r="P21" s="16">
        <v>36596</v>
      </c>
      <c r="Q21" s="16">
        <v>42408</v>
      </c>
      <c r="R21" s="16">
        <v>51951</v>
      </c>
      <c r="S21" s="16">
        <v>64696</v>
      </c>
      <c r="T21" s="16">
        <v>122938</v>
      </c>
      <c r="U21" s="16">
        <v>146167</v>
      </c>
      <c r="V21" s="16">
        <v>174438</v>
      </c>
      <c r="W21" s="16">
        <v>299426</v>
      </c>
      <c r="X21" s="16">
        <v>858041</v>
      </c>
      <c r="Y21" s="16">
        <v>1601615</v>
      </c>
      <c r="Z21" s="16">
        <v>1715452</v>
      </c>
      <c r="AA21" s="16">
        <v>3436135</v>
      </c>
      <c r="AB21" s="16">
        <v>2669641</v>
      </c>
      <c r="AC21" s="16">
        <v>1774040</v>
      </c>
      <c r="AD21" s="16">
        <v>1915176</v>
      </c>
      <c r="AE21" s="16">
        <v>1687459</v>
      </c>
      <c r="AF21" s="16">
        <v>1744425</v>
      </c>
      <c r="AG21" s="16">
        <v>1726051</v>
      </c>
      <c r="AH21" s="16">
        <v>1798798</v>
      </c>
      <c r="AI21" s="16">
        <v>2113375</v>
      </c>
      <c r="AJ21" s="16">
        <v>2346633</v>
      </c>
      <c r="AK21" s="16">
        <v>2378906</v>
      </c>
      <c r="AL21" s="16">
        <v>2454199</v>
      </c>
      <c r="AM21" s="16">
        <v>2651010</v>
      </c>
      <c r="AN21" s="16">
        <v>2544329</v>
      </c>
      <c r="AO21" s="2"/>
      <c r="AP21" s="17"/>
      <c r="AQ21" s="17"/>
      <c r="AR21" s="17"/>
      <c r="AS21" s="17">
        <f>SUMIFS($C21:$U21,$C$7:$U$7,AS$7)</f>
        <v>164827</v>
      </c>
      <c r="AT21" s="17">
        <f t="shared" si="5"/>
        <v>508239</v>
      </c>
      <c r="AU21" s="17">
        <f t="shared" si="6"/>
        <v>4474534</v>
      </c>
      <c r="AV21" s="17">
        <f>SUMIFS($C21:$AD21,$C$7:$AD$7,AV$7)</f>
        <v>9794992</v>
      </c>
      <c r="AW21" s="17">
        <f t="shared" si="7"/>
        <v>6956733</v>
      </c>
      <c r="AX21" s="17">
        <f t="shared" si="8"/>
        <v>9293113</v>
      </c>
      <c r="AY21" s="2"/>
      <c r="AZ21" s="17">
        <f t="shared" si="9"/>
        <v>7382649</v>
      </c>
      <c r="BA21" s="17">
        <f t="shared" si="9"/>
        <v>9830748</v>
      </c>
    </row>
    <row r="22" spans="1:53" ht="12.9" x14ac:dyDescent="0.5">
      <c r="A22" s="2" t="s">
        <v>99</v>
      </c>
      <c r="B22" s="2"/>
      <c r="C22" s="16">
        <v>602</v>
      </c>
      <c r="D22" s="16">
        <v>1142</v>
      </c>
      <c r="E22" s="16">
        <v>1142</v>
      </c>
      <c r="F22" s="16">
        <v>2753</v>
      </c>
      <c r="G22" s="16">
        <v>2370</v>
      </c>
      <c r="H22" s="16">
        <v>1886</v>
      </c>
      <c r="I22" s="16">
        <v>1886</v>
      </c>
      <c r="J22" s="16">
        <v>1886</v>
      </c>
      <c r="K22" s="16">
        <v>1807</v>
      </c>
      <c r="L22" s="16">
        <v>1695</v>
      </c>
      <c r="M22" s="16">
        <v>1556</v>
      </c>
      <c r="N22" s="16">
        <v>1486</v>
      </c>
      <c r="O22" s="16">
        <v>1580</v>
      </c>
      <c r="P22" s="16">
        <v>1857</v>
      </c>
      <c r="Q22" s="16">
        <v>2277</v>
      </c>
      <c r="R22" s="16">
        <v>1376</v>
      </c>
      <c r="S22" s="16">
        <v>0</v>
      </c>
      <c r="T22" s="16">
        <v>0</v>
      </c>
      <c r="U22" s="16">
        <v>0</v>
      </c>
      <c r="V22" s="16">
        <v>0</v>
      </c>
      <c r="W22" s="16">
        <v>0</v>
      </c>
      <c r="X22" s="16">
        <v>0</v>
      </c>
      <c r="Y22" s="16">
        <v>0</v>
      </c>
      <c r="Z22" s="16">
        <v>0</v>
      </c>
      <c r="AA22" s="16">
        <v>4300</v>
      </c>
      <c r="AB22" s="16">
        <v>5405</v>
      </c>
      <c r="AC22" s="16">
        <v>6351</v>
      </c>
      <c r="AD22" s="16">
        <v>6590</v>
      </c>
      <c r="AE22" s="16">
        <v>15469</v>
      </c>
      <c r="AF22" s="16">
        <v>17899</v>
      </c>
      <c r="AG22" s="16">
        <v>18506</v>
      </c>
      <c r="AH22" s="16">
        <v>18320</v>
      </c>
      <c r="AI22" s="16">
        <v>18508</v>
      </c>
      <c r="AJ22" s="16">
        <v>18392</v>
      </c>
      <c r="AK22" s="16">
        <v>17880</v>
      </c>
      <c r="AL22" s="16">
        <v>18049</v>
      </c>
      <c r="AM22" s="16">
        <v>18027</v>
      </c>
      <c r="AN22" s="16">
        <v>17589</v>
      </c>
      <c r="AO22" s="2"/>
      <c r="AP22" s="17">
        <f t="shared" ref="AP22:AS24" si="10">SUMIFS($C22:$U22,$C$7:$U$7,AP$7)</f>
        <v>5639</v>
      </c>
      <c r="AQ22" s="17">
        <f t="shared" si="10"/>
        <v>8028</v>
      </c>
      <c r="AR22" s="17">
        <f t="shared" si="10"/>
        <v>6544</v>
      </c>
      <c r="AS22" s="17">
        <f t="shared" si="10"/>
        <v>7090</v>
      </c>
      <c r="AT22" s="17">
        <f t="shared" si="5"/>
        <v>0</v>
      </c>
      <c r="AU22" s="17">
        <f t="shared" si="6"/>
        <v>0</v>
      </c>
      <c r="AV22" s="16">
        <v>22645</v>
      </c>
      <c r="AW22" s="17">
        <f t="shared" si="7"/>
        <v>70194</v>
      </c>
      <c r="AX22" s="17">
        <f t="shared" si="8"/>
        <v>72829</v>
      </c>
      <c r="AY22" s="2"/>
      <c r="AZ22" s="17">
        <f t="shared" si="9"/>
        <v>73233</v>
      </c>
      <c r="BA22" s="17">
        <f t="shared" si="9"/>
        <v>72348</v>
      </c>
    </row>
    <row r="23" spans="1:53" ht="12.9" x14ac:dyDescent="0.5">
      <c r="A23" s="7" t="s">
        <v>100</v>
      </c>
      <c r="B23" s="2"/>
      <c r="C23" s="20">
        <f t="shared" ref="C23:AM23" si="11">SUM(C17:C22)</f>
        <v>176272</v>
      </c>
      <c r="D23" s="20">
        <f t="shared" si="11"/>
        <v>219671</v>
      </c>
      <c r="E23" s="20">
        <f t="shared" si="11"/>
        <v>235878</v>
      </c>
      <c r="F23" s="20">
        <f t="shared" si="11"/>
        <v>265267</v>
      </c>
      <c r="G23" s="20">
        <f t="shared" si="11"/>
        <v>269029</v>
      </c>
      <c r="H23" s="20">
        <f t="shared" si="11"/>
        <v>289574</v>
      </c>
      <c r="I23" s="20">
        <f t="shared" si="11"/>
        <v>288688</v>
      </c>
      <c r="J23" s="20">
        <f t="shared" si="11"/>
        <v>285392</v>
      </c>
      <c r="K23" s="20">
        <f t="shared" si="11"/>
        <v>288123</v>
      </c>
      <c r="L23" s="20">
        <f t="shared" si="11"/>
        <v>344076</v>
      </c>
      <c r="M23" s="20">
        <f t="shared" si="11"/>
        <v>366543</v>
      </c>
      <c r="N23" s="20">
        <f t="shared" si="11"/>
        <v>376205</v>
      </c>
      <c r="O23" s="20">
        <f t="shared" si="11"/>
        <v>413433</v>
      </c>
      <c r="P23" s="20">
        <f t="shared" si="11"/>
        <v>499122</v>
      </c>
      <c r="Q23" s="20">
        <f t="shared" si="11"/>
        <v>529448</v>
      </c>
      <c r="R23" s="20">
        <f t="shared" si="11"/>
        <v>552474</v>
      </c>
      <c r="S23" s="20">
        <f t="shared" si="11"/>
        <v>562605</v>
      </c>
      <c r="T23" s="20">
        <f t="shared" si="11"/>
        <v>708393</v>
      </c>
      <c r="U23" s="20">
        <f t="shared" si="11"/>
        <v>766437</v>
      </c>
      <c r="V23" s="20">
        <f t="shared" si="11"/>
        <v>786380</v>
      </c>
      <c r="W23" s="20">
        <f t="shared" si="11"/>
        <v>842608</v>
      </c>
      <c r="X23" s="20">
        <f t="shared" si="11"/>
        <v>1326862</v>
      </c>
      <c r="Y23" s="20">
        <f t="shared" si="11"/>
        <v>2239419</v>
      </c>
      <c r="Z23" s="20">
        <f t="shared" si="11"/>
        <v>2355280</v>
      </c>
      <c r="AA23" s="20">
        <f t="shared" si="11"/>
        <v>4093770</v>
      </c>
      <c r="AB23" s="20">
        <f t="shared" si="11"/>
        <v>3539607</v>
      </c>
      <c r="AC23" s="20">
        <f t="shared" si="11"/>
        <v>2711512</v>
      </c>
      <c r="AD23" s="20">
        <f t="shared" si="11"/>
        <v>2896492</v>
      </c>
      <c r="AE23" s="20">
        <f t="shared" si="11"/>
        <v>2665685</v>
      </c>
      <c r="AF23" s="20">
        <f t="shared" si="11"/>
        <v>2934851</v>
      </c>
      <c r="AG23" s="20">
        <f t="shared" si="11"/>
        <v>2948452</v>
      </c>
      <c r="AH23" s="20">
        <f t="shared" si="11"/>
        <v>2990707</v>
      </c>
      <c r="AI23" s="20">
        <f t="shared" si="11"/>
        <v>3275547</v>
      </c>
      <c r="AJ23" s="20">
        <f t="shared" si="11"/>
        <v>3668856</v>
      </c>
      <c r="AK23" s="20">
        <f t="shared" si="11"/>
        <v>3719044</v>
      </c>
      <c r="AL23" s="20">
        <f t="shared" si="11"/>
        <v>3747290</v>
      </c>
      <c r="AM23" s="20">
        <f t="shared" si="11"/>
        <v>3862655</v>
      </c>
      <c r="AN23" s="20">
        <v>3922083</v>
      </c>
      <c r="AO23" s="7"/>
      <c r="AP23" s="20">
        <f t="shared" si="10"/>
        <v>897088</v>
      </c>
      <c r="AQ23" s="20">
        <f t="shared" si="10"/>
        <v>1132683</v>
      </c>
      <c r="AR23" s="20">
        <f t="shared" si="10"/>
        <v>1374947</v>
      </c>
      <c r="AS23" s="20">
        <f t="shared" si="10"/>
        <v>1994477</v>
      </c>
      <c r="AT23" s="20">
        <f t="shared" si="5"/>
        <v>2823815</v>
      </c>
      <c r="AU23" s="20">
        <f t="shared" si="6"/>
        <v>6764169</v>
      </c>
      <c r="AV23" s="74">
        <f>SUM(AV17:AV22)</f>
        <v>13241380</v>
      </c>
      <c r="AW23" s="20">
        <f t="shared" si="7"/>
        <v>11539695</v>
      </c>
      <c r="AX23" s="20">
        <f t="shared" si="8"/>
        <v>14410737</v>
      </c>
      <c r="AY23" s="7"/>
      <c r="AZ23" s="74">
        <f t="shared" si="9"/>
        <v>12149557</v>
      </c>
      <c r="BA23" s="74">
        <f t="shared" si="9"/>
        <v>14997845</v>
      </c>
    </row>
    <row r="24" spans="1:53" ht="12.9" x14ac:dyDescent="0.5">
      <c r="A24" s="7" t="s">
        <v>101</v>
      </c>
      <c r="B24" s="2"/>
      <c r="C24" s="20">
        <f t="shared" ref="C24:AM24" si="12">C14-C23</f>
        <v>74285</v>
      </c>
      <c r="D24" s="20">
        <f t="shared" si="12"/>
        <v>90342</v>
      </c>
      <c r="E24" s="20">
        <f t="shared" si="12"/>
        <v>96310</v>
      </c>
      <c r="F24" s="20">
        <f t="shared" si="12"/>
        <v>109093</v>
      </c>
      <c r="G24" s="20">
        <f t="shared" si="12"/>
        <v>110240</v>
      </c>
      <c r="H24" s="20">
        <f t="shared" si="12"/>
        <v>148959</v>
      </c>
      <c r="I24" s="20">
        <f t="shared" si="12"/>
        <v>150314</v>
      </c>
      <c r="J24" s="20">
        <f t="shared" si="12"/>
        <v>166525</v>
      </c>
      <c r="K24" s="20">
        <f t="shared" si="12"/>
        <v>173431</v>
      </c>
      <c r="L24" s="20">
        <f t="shared" si="12"/>
        <v>207429</v>
      </c>
      <c r="M24" s="20">
        <f t="shared" si="12"/>
        <v>218616</v>
      </c>
      <c r="N24" s="20">
        <f t="shared" si="12"/>
        <v>239830</v>
      </c>
      <c r="O24" s="20">
        <f t="shared" si="12"/>
        <v>255170</v>
      </c>
      <c r="P24" s="20">
        <f t="shared" si="12"/>
        <v>315816</v>
      </c>
      <c r="Q24" s="20">
        <f t="shared" si="12"/>
        <v>352660</v>
      </c>
      <c r="R24" s="20">
        <f t="shared" si="12"/>
        <v>380054</v>
      </c>
      <c r="S24" s="20">
        <f t="shared" si="12"/>
        <v>396754</v>
      </c>
      <c r="T24" s="20">
        <f t="shared" si="12"/>
        <v>465845</v>
      </c>
      <c r="U24" s="20">
        <f t="shared" si="12"/>
        <v>500037</v>
      </c>
      <c r="V24" s="20">
        <f t="shared" si="12"/>
        <v>527049</v>
      </c>
      <c r="W24" s="20">
        <f t="shared" si="12"/>
        <v>538501</v>
      </c>
      <c r="X24" s="20">
        <f t="shared" si="12"/>
        <v>596763</v>
      </c>
      <c r="Y24" s="20">
        <f t="shared" si="12"/>
        <v>794455</v>
      </c>
      <c r="Z24" s="20">
        <f t="shared" si="12"/>
        <v>803690</v>
      </c>
      <c r="AA24" s="20">
        <f t="shared" si="12"/>
        <v>963500</v>
      </c>
      <c r="AB24" s="20">
        <f t="shared" si="12"/>
        <v>1141065</v>
      </c>
      <c r="AC24" s="20">
        <f t="shared" si="12"/>
        <v>1133215</v>
      </c>
      <c r="AD24" s="20">
        <f t="shared" si="12"/>
        <v>1182042</v>
      </c>
      <c r="AE24" s="20">
        <f t="shared" si="12"/>
        <v>1294960</v>
      </c>
      <c r="AF24" s="20">
        <f t="shared" si="12"/>
        <v>1469648</v>
      </c>
      <c r="AG24" s="20">
        <f t="shared" si="12"/>
        <v>1567089</v>
      </c>
      <c r="AH24" s="20">
        <f t="shared" si="12"/>
        <v>1660195</v>
      </c>
      <c r="AI24" s="20">
        <f t="shared" si="12"/>
        <v>1714584</v>
      </c>
      <c r="AJ24" s="20">
        <f t="shared" si="12"/>
        <v>1866101</v>
      </c>
      <c r="AK24" s="20">
        <f t="shared" si="12"/>
        <v>1898449</v>
      </c>
      <c r="AL24" s="20">
        <f t="shared" si="12"/>
        <v>2025752</v>
      </c>
      <c r="AM24" s="20">
        <f t="shared" si="12"/>
        <v>2094473</v>
      </c>
      <c r="AN24" s="20">
        <v>2233480</v>
      </c>
      <c r="AO24" s="2"/>
      <c r="AP24" s="20">
        <f t="shared" si="10"/>
        <v>370030</v>
      </c>
      <c r="AQ24" s="20">
        <f t="shared" si="10"/>
        <v>576038</v>
      </c>
      <c r="AR24" s="20">
        <f t="shared" si="10"/>
        <v>839306</v>
      </c>
      <c r="AS24" s="20">
        <f t="shared" si="10"/>
        <v>1303700</v>
      </c>
      <c r="AT24" s="20">
        <f t="shared" si="5"/>
        <v>1889685</v>
      </c>
      <c r="AU24" s="20">
        <f t="shared" si="6"/>
        <v>2733409</v>
      </c>
      <c r="AV24" s="74">
        <f>AV14-AV23</f>
        <v>4419823</v>
      </c>
      <c r="AW24" s="20">
        <f t="shared" si="7"/>
        <v>5991892</v>
      </c>
      <c r="AX24" s="20">
        <f t="shared" si="8"/>
        <v>7504886</v>
      </c>
      <c r="AY24" s="2"/>
      <c r="AZ24" s="74">
        <f t="shared" si="9"/>
        <v>6411516</v>
      </c>
      <c r="BA24" s="74">
        <f t="shared" si="9"/>
        <v>7884775</v>
      </c>
    </row>
    <row r="25" spans="1:53" ht="12.9" x14ac:dyDescent="0.5">
      <c r="A25" s="2"/>
      <c r="B25" s="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O25" s="2"/>
      <c r="AP25" s="2"/>
      <c r="AQ25" s="2"/>
      <c r="AR25" s="2"/>
      <c r="AS25" s="26"/>
      <c r="AT25" s="26"/>
      <c r="AU25" s="26"/>
      <c r="AV25" s="26"/>
      <c r="AW25" s="26"/>
      <c r="AX25" s="26"/>
      <c r="AY25" s="2"/>
      <c r="AZ25" s="2"/>
      <c r="BA25" s="2"/>
    </row>
    <row r="26" spans="1:53" ht="12.9" x14ac:dyDescent="0.5">
      <c r="A26" s="7" t="s">
        <v>102</v>
      </c>
      <c r="B26" s="2"/>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75"/>
      <c r="AK26" s="75"/>
      <c r="AL26" s="75"/>
      <c r="AM26" s="75"/>
      <c r="AN26" s="75"/>
      <c r="AO26" s="2"/>
      <c r="AP26" s="2"/>
      <c r="AQ26" s="2"/>
      <c r="AR26" s="2"/>
      <c r="AS26" s="2"/>
      <c r="AT26" s="2"/>
      <c r="AU26" s="2"/>
      <c r="AV26" s="2"/>
      <c r="AW26" s="2"/>
      <c r="AX26" s="2"/>
      <c r="AY26" s="30"/>
      <c r="AZ26" s="2"/>
      <c r="BA26" s="2"/>
    </row>
    <row r="27" spans="1:53" ht="12.9" x14ac:dyDescent="0.5">
      <c r="A27" s="2" t="s">
        <v>103</v>
      </c>
      <c r="B27" s="2"/>
      <c r="C27" s="38">
        <v>39545</v>
      </c>
      <c r="D27" s="38">
        <v>45887</v>
      </c>
      <c r="E27" s="38">
        <v>55020</v>
      </c>
      <c r="F27" s="38">
        <v>59186</v>
      </c>
      <c r="G27" s="38">
        <v>64592</v>
      </c>
      <c r="H27" s="38">
        <v>68638</v>
      </c>
      <c r="I27" s="38">
        <v>70418</v>
      </c>
      <c r="J27" s="38">
        <v>64889</v>
      </c>
      <c r="K27" s="38">
        <v>68582</v>
      </c>
      <c r="L27" s="38">
        <v>78126</v>
      </c>
      <c r="M27" s="38">
        <v>82547</v>
      </c>
      <c r="N27" s="38">
        <v>92633</v>
      </c>
      <c r="O27" s="38">
        <v>105095</v>
      </c>
      <c r="P27" s="38">
        <v>114800</v>
      </c>
      <c r="Q27" s="38">
        <v>135773</v>
      </c>
      <c r="R27" s="38">
        <v>141811</v>
      </c>
      <c r="S27" s="38">
        <v>155240</v>
      </c>
      <c r="T27" s="38">
        <v>175090</v>
      </c>
      <c r="U27" s="38">
        <v>169661</v>
      </c>
      <c r="V27" s="38">
        <v>174174</v>
      </c>
      <c r="W27" s="38">
        <v>195876</v>
      </c>
      <c r="X27" s="38">
        <v>207730</v>
      </c>
      <c r="Y27" s="38">
        <v>227550</v>
      </c>
      <c r="Z27" s="38">
        <v>254525</v>
      </c>
      <c r="AA27" s="38">
        <v>307711</v>
      </c>
      <c r="AB27" s="38">
        <v>324058</v>
      </c>
      <c r="AC27" s="38">
        <v>360729</v>
      </c>
      <c r="AD27" s="38">
        <v>391343</v>
      </c>
      <c r="AE27" s="38">
        <v>458224</v>
      </c>
      <c r="AF27" s="38">
        <v>524827</v>
      </c>
      <c r="AG27" s="38">
        <v>548037</v>
      </c>
      <c r="AH27" s="38">
        <v>604524</v>
      </c>
      <c r="AI27" s="38">
        <v>626937</v>
      </c>
      <c r="AJ27" s="38">
        <v>694672</v>
      </c>
      <c r="AK27" s="38">
        <v>713788</v>
      </c>
      <c r="AL27" s="38">
        <v>685422</v>
      </c>
      <c r="AM27" s="38">
        <v>720574</v>
      </c>
      <c r="AN27" s="38">
        <v>713163</v>
      </c>
      <c r="AO27" s="2"/>
      <c r="AP27" s="12">
        <f>SUMIFS($C27:$V27,$C$7:$V$7,AP$7)</f>
        <v>199638</v>
      </c>
      <c r="AQ27" s="12">
        <f>SUMIFS($C27:$U27,$C$7:$U$7,AQ$7)</f>
        <v>268537</v>
      </c>
      <c r="AR27" s="12">
        <f>SUMIFS($C27:$U27,$C$7:$U$7,AR$7)</f>
        <v>321888</v>
      </c>
      <c r="AS27" s="12">
        <f>SUMIFS($C27:$U27,$C$7:$U$7,AS$7)</f>
        <v>497479</v>
      </c>
      <c r="AT27" s="12">
        <f>SUMIFS($C27:$V27,$C$7:$V$7,AT$7)</f>
        <v>674165</v>
      </c>
      <c r="AU27" s="12">
        <f>SUMIFS($C27:$Z27,$C$7:$Z$7,AU$7)</f>
        <v>885681</v>
      </c>
      <c r="AV27" s="12">
        <f t="shared" ref="AV27:AV32" si="13">SUMIFS($C27:$AD27,$C$7:$AD$7,AV$7)</f>
        <v>1383841</v>
      </c>
      <c r="AW27" s="12">
        <f t="shared" ref="AW27:AW34" si="14">SUMIFS($C27:$AH27,$C$7:$AH$7,AW$7)</f>
        <v>2135612</v>
      </c>
      <c r="AX27" s="12">
        <f t="shared" ref="AX27:AX34" si="15">SUMIFS($C27:$AL27,$C$7:$AL$7,AX$7)</f>
        <v>2720819</v>
      </c>
      <c r="AY27" s="2"/>
      <c r="AZ27" s="12">
        <f t="shared" ref="AZ27:BA39" si="16">SUMIFS($C27:$AM27,$C$5:$AM$5,"&lt;="&amp;AZ$5,$C$5:$AM$5,"&gt;"&amp;EOMONTH(AZ$5,-12))</f>
        <v>2304325</v>
      </c>
      <c r="BA27" s="12">
        <f t="shared" si="16"/>
        <v>2814456</v>
      </c>
    </row>
    <row r="28" spans="1:53" ht="12.9" x14ac:dyDescent="0.5">
      <c r="A28" s="2" t="s">
        <v>104</v>
      </c>
      <c r="B28" s="2"/>
      <c r="C28" s="16">
        <v>36181</v>
      </c>
      <c r="D28" s="16">
        <v>31730</v>
      </c>
      <c r="E28" s="16">
        <v>39259</v>
      </c>
      <c r="F28" s="16">
        <v>38448</v>
      </c>
      <c r="G28" s="16">
        <v>38496</v>
      </c>
      <c r="H28" s="16">
        <v>39220</v>
      </c>
      <c r="I28" s="16">
        <v>46754</v>
      </c>
      <c r="J28" s="16">
        <v>49406</v>
      </c>
      <c r="K28" s="16">
        <v>49900</v>
      </c>
      <c r="L28" s="16">
        <v>59916</v>
      </c>
      <c r="M28" s="16">
        <v>66533</v>
      </c>
      <c r="N28" s="16">
        <v>76821</v>
      </c>
      <c r="O28" s="16">
        <v>77266</v>
      </c>
      <c r="P28" s="16">
        <v>98243</v>
      </c>
      <c r="Q28" s="16">
        <v>116337</v>
      </c>
      <c r="R28" s="16">
        <v>119305</v>
      </c>
      <c r="S28" s="16">
        <v>133848</v>
      </c>
      <c r="T28" s="16">
        <v>156556</v>
      </c>
      <c r="U28" s="16">
        <v>149491</v>
      </c>
      <c r="V28" s="16">
        <v>185231</v>
      </c>
      <c r="W28" s="16">
        <v>194535</v>
      </c>
      <c r="X28" s="16">
        <v>238096</v>
      </c>
      <c r="Y28" s="16">
        <v>348463</v>
      </c>
      <c r="Z28" s="16">
        <v>328576</v>
      </c>
      <c r="AA28" s="16">
        <v>349460</v>
      </c>
      <c r="AB28" s="16">
        <v>373878</v>
      </c>
      <c r="AC28" s="16">
        <v>409073</v>
      </c>
      <c r="AD28" s="16">
        <v>484778</v>
      </c>
      <c r="AE28" s="16">
        <v>501562</v>
      </c>
      <c r="AF28" s="16">
        <v>530827</v>
      </c>
      <c r="AG28" s="16">
        <v>485838</v>
      </c>
      <c r="AH28" s="16">
        <v>539724</v>
      </c>
      <c r="AI28" s="16">
        <v>496011</v>
      </c>
      <c r="AJ28" s="16">
        <v>537607</v>
      </c>
      <c r="AK28" s="16">
        <v>479381</v>
      </c>
      <c r="AL28" s="16">
        <v>506010</v>
      </c>
      <c r="AM28" s="16">
        <v>443885</v>
      </c>
      <c r="AN28" s="16">
        <v>507562</v>
      </c>
      <c r="AO28" s="2"/>
      <c r="AP28" s="17">
        <f t="shared" ref="AP28:AS30" si="17">SUMIFS($C28:$U28,$C$7:$U$7,AP$7)</f>
        <v>145618</v>
      </c>
      <c r="AQ28" s="17">
        <f t="shared" si="17"/>
        <v>173876</v>
      </c>
      <c r="AR28" s="17">
        <f t="shared" si="17"/>
        <v>253170</v>
      </c>
      <c r="AS28" s="17">
        <f t="shared" si="17"/>
        <v>411151</v>
      </c>
      <c r="AT28" s="17">
        <f>SUMIFS($C28:$V28,$C$7:$V$7,AT$7)</f>
        <v>625126</v>
      </c>
      <c r="AU28" s="17">
        <f>SUMIFS($C28:$Z28,$C$7:$Z$7,AU$7)</f>
        <v>1109670</v>
      </c>
      <c r="AV28" s="17">
        <f t="shared" si="13"/>
        <v>1617189</v>
      </c>
      <c r="AW28" s="17">
        <f t="shared" si="14"/>
        <v>2057951</v>
      </c>
      <c r="AX28" s="17">
        <f t="shared" si="15"/>
        <v>2019009</v>
      </c>
      <c r="AY28" s="2"/>
      <c r="AZ28" s="17">
        <f t="shared" si="16"/>
        <v>2052400</v>
      </c>
      <c r="BA28" s="17">
        <f t="shared" si="16"/>
        <v>1966883</v>
      </c>
    </row>
    <row r="29" spans="1:53" ht="12.9" x14ac:dyDescent="0.5">
      <c r="A29" s="2" t="s">
        <v>105</v>
      </c>
      <c r="B29" s="2"/>
      <c r="C29" s="16">
        <v>28119</v>
      </c>
      <c r="D29" s="16">
        <v>31804</v>
      </c>
      <c r="E29" s="16">
        <v>37820</v>
      </c>
      <c r="F29" s="16">
        <v>45723</v>
      </c>
      <c r="G29" s="16">
        <v>96107</v>
      </c>
      <c r="H29" s="16">
        <v>50784</v>
      </c>
      <c r="I29" s="16">
        <v>52075</v>
      </c>
      <c r="J29" s="16">
        <v>53027</v>
      </c>
      <c r="K29" s="16">
        <v>56935</v>
      </c>
      <c r="L29" s="16">
        <v>62988</v>
      </c>
      <c r="M29" s="16">
        <v>64312</v>
      </c>
      <c r="N29" s="16">
        <v>66318</v>
      </c>
      <c r="O29" s="16">
        <v>75501</v>
      </c>
      <c r="P29" s="16">
        <v>82772</v>
      </c>
      <c r="Q29" s="16">
        <v>85527</v>
      </c>
      <c r="R29" s="16">
        <v>95445</v>
      </c>
      <c r="S29" s="16">
        <v>101867</v>
      </c>
      <c r="T29" s="16">
        <v>100778</v>
      </c>
      <c r="U29" s="16">
        <v>116069</v>
      </c>
      <c r="V29" s="16">
        <v>118164</v>
      </c>
      <c r="W29" s="16">
        <v>129495</v>
      </c>
      <c r="X29" s="16">
        <v>136386</v>
      </c>
      <c r="Y29" s="16">
        <v>153902</v>
      </c>
      <c r="Z29" s="16">
        <v>159420</v>
      </c>
      <c r="AA29" s="16">
        <v>195783</v>
      </c>
      <c r="AB29" s="16">
        <v>220892</v>
      </c>
      <c r="AC29" s="16">
        <v>267348</v>
      </c>
      <c r="AD29" s="16">
        <v>298794</v>
      </c>
      <c r="AE29" s="16">
        <v>444149</v>
      </c>
      <c r="AF29" s="16">
        <v>395720</v>
      </c>
      <c r="AG29" s="16">
        <v>395437</v>
      </c>
      <c r="AH29" s="16">
        <v>451543</v>
      </c>
      <c r="AI29" s="16">
        <v>432825</v>
      </c>
      <c r="AJ29" s="16">
        <v>549293</v>
      </c>
      <c r="AK29" s="16">
        <v>480885</v>
      </c>
      <c r="AL29" s="16">
        <v>746187</v>
      </c>
      <c r="AM29" s="16">
        <v>471260</v>
      </c>
      <c r="AN29" s="16">
        <v>473568</v>
      </c>
      <c r="AO29" s="2"/>
      <c r="AP29" s="17">
        <f t="shared" si="17"/>
        <v>143466</v>
      </c>
      <c r="AQ29" s="17">
        <f t="shared" si="17"/>
        <v>251993</v>
      </c>
      <c r="AR29" s="17">
        <f t="shared" si="17"/>
        <v>250553</v>
      </c>
      <c r="AS29" s="17">
        <f t="shared" si="17"/>
        <v>339245</v>
      </c>
      <c r="AT29" s="17">
        <f>SUMIFS($C29:$V29,$C$7:$V$7,AT$7)</f>
        <v>436878</v>
      </c>
      <c r="AU29" s="17">
        <f>SUMIFS($C29:$Z29,$C$7:$Z$7,AU$7)</f>
        <v>579203</v>
      </c>
      <c r="AV29" s="17">
        <f t="shared" si="13"/>
        <v>982817</v>
      </c>
      <c r="AW29" s="17">
        <f t="shared" si="14"/>
        <v>1686849</v>
      </c>
      <c r="AX29" s="17">
        <f t="shared" si="15"/>
        <v>2209190</v>
      </c>
      <c r="AY29" s="2"/>
      <c r="AZ29" s="17">
        <f t="shared" si="16"/>
        <v>1675525</v>
      </c>
      <c r="BA29" s="17">
        <f t="shared" si="16"/>
        <v>2247625</v>
      </c>
    </row>
    <row r="30" spans="1:53" ht="12.9" x14ac:dyDescent="0.5">
      <c r="A30" s="2" t="s">
        <v>106</v>
      </c>
      <c r="B30" s="2"/>
      <c r="C30" s="16">
        <v>16322</v>
      </c>
      <c r="D30" s="16">
        <v>8513</v>
      </c>
      <c r="E30" s="16">
        <v>16005</v>
      </c>
      <c r="F30" s="16">
        <v>13169</v>
      </c>
      <c r="G30" s="16">
        <v>7861</v>
      </c>
      <c r="H30" s="16">
        <v>17455</v>
      </c>
      <c r="I30" s="16">
        <v>12885</v>
      </c>
      <c r="J30" s="16">
        <v>13034</v>
      </c>
      <c r="K30" s="16">
        <v>11891</v>
      </c>
      <c r="L30" s="16">
        <v>18401</v>
      </c>
      <c r="M30" s="16">
        <v>19893</v>
      </c>
      <c r="N30" s="16">
        <v>16833</v>
      </c>
      <c r="O30" s="16">
        <v>18031</v>
      </c>
      <c r="P30" s="16">
        <v>21976</v>
      </c>
      <c r="Q30" s="16">
        <v>23596</v>
      </c>
      <c r="R30" s="16">
        <v>24474</v>
      </c>
      <c r="S30" s="16">
        <v>27841</v>
      </c>
      <c r="T30" s="16">
        <v>34264</v>
      </c>
      <c r="U30" s="16">
        <v>32722</v>
      </c>
      <c r="V30" s="16">
        <v>32132</v>
      </c>
      <c r="W30" s="16">
        <v>108883</v>
      </c>
      <c r="X30" s="16">
        <v>37603</v>
      </c>
      <c r="Y30" s="16">
        <v>15198</v>
      </c>
      <c r="Z30" s="16">
        <v>15986</v>
      </c>
      <c r="AA30" s="16">
        <v>20395</v>
      </c>
      <c r="AB30" s="16">
        <v>48173</v>
      </c>
      <c r="AC30" s="16">
        <v>62306</v>
      </c>
      <c r="AD30" s="16">
        <v>57117</v>
      </c>
      <c r="AE30" s="16">
        <v>91150</v>
      </c>
      <c r="AF30" s="16">
        <v>156697</v>
      </c>
      <c r="AG30" s="16">
        <v>147586</v>
      </c>
      <c r="AH30" s="16">
        <v>155250</v>
      </c>
      <c r="AI30" s="16">
        <v>127896</v>
      </c>
      <c r="AJ30" s="16">
        <v>179771</v>
      </c>
      <c r="AK30" s="16">
        <v>177338</v>
      </c>
      <c r="AL30" s="16">
        <v>175658</v>
      </c>
      <c r="AM30" s="16">
        <v>165729</v>
      </c>
      <c r="AN30" s="16">
        <v>191812</v>
      </c>
      <c r="AO30" s="2"/>
      <c r="AP30" s="17">
        <f t="shared" si="17"/>
        <v>54009</v>
      </c>
      <c r="AQ30" s="17">
        <f t="shared" si="17"/>
        <v>51235</v>
      </c>
      <c r="AR30" s="17">
        <f t="shared" si="17"/>
        <v>67018</v>
      </c>
      <c r="AS30" s="17">
        <f t="shared" si="17"/>
        <v>88077</v>
      </c>
      <c r="AT30" s="17">
        <f>SUMIFS($C30:$V30,$C$7:$V$7,AT$7)</f>
        <v>126959</v>
      </c>
      <c r="AU30" s="17">
        <f>SUMIFS($C30:$Z30,$C$7:$Z$7,AU$7)</f>
        <v>177670</v>
      </c>
      <c r="AV30" s="17">
        <f t="shared" si="13"/>
        <v>187991</v>
      </c>
      <c r="AW30" s="17">
        <f t="shared" si="14"/>
        <v>550683</v>
      </c>
      <c r="AX30" s="17">
        <f t="shared" si="15"/>
        <v>660663</v>
      </c>
      <c r="AY30" s="2"/>
      <c r="AZ30" s="17">
        <f t="shared" si="16"/>
        <v>587429</v>
      </c>
      <c r="BA30" s="17">
        <f t="shared" si="16"/>
        <v>698496</v>
      </c>
    </row>
    <row r="31" spans="1:53" ht="12.9" x14ac:dyDescent="0.5">
      <c r="A31" s="2" t="s">
        <v>25</v>
      </c>
      <c r="B31" s="2"/>
      <c r="C31" s="28"/>
      <c r="D31" s="28"/>
      <c r="E31" s="28"/>
      <c r="F31" s="28"/>
      <c r="G31" s="28"/>
      <c r="H31" s="28"/>
      <c r="I31" s="28"/>
      <c r="J31" s="28"/>
      <c r="K31" s="28"/>
      <c r="L31" s="16"/>
      <c r="M31" s="16"/>
      <c r="N31" s="16"/>
      <c r="O31" s="16"/>
      <c r="P31" s="16"/>
      <c r="Q31" s="16"/>
      <c r="R31" s="16"/>
      <c r="S31" s="16"/>
      <c r="T31" s="16"/>
      <c r="U31" s="16"/>
      <c r="V31" s="16"/>
      <c r="W31" s="16"/>
      <c r="X31" s="16"/>
      <c r="Y31" s="16"/>
      <c r="Z31" s="16"/>
      <c r="AA31" s="16">
        <v>19860</v>
      </c>
      <c r="AB31" s="16">
        <v>45266</v>
      </c>
      <c r="AC31" s="16">
        <v>6000</v>
      </c>
      <c r="AD31" s="16">
        <v>0</v>
      </c>
      <c r="AE31" s="16">
        <v>0</v>
      </c>
      <c r="AF31" s="16">
        <v>35961</v>
      </c>
      <c r="AG31" s="16">
        <v>1619</v>
      </c>
      <c r="AH31" s="16">
        <v>8991</v>
      </c>
      <c r="AI31" s="16">
        <v>0</v>
      </c>
      <c r="AJ31" s="16">
        <v>0</v>
      </c>
      <c r="AK31" s="16">
        <v>0</v>
      </c>
      <c r="AL31" s="16">
        <v>0</v>
      </c>
      <c r="AM31" s="16">
        <v>0</v>
      </c>
      <c r="AN31" s="16">
        <v>0</v>
      </c>
      <c r="AO31" s="2"/>
      <c r="AP31" s="17"/>
      <c r="AQ31" s="17"/>
      <c r="AR31" s="17"/>
      <c r="AS31" s="17"/>
      <c r="AT31" s="17"/>
      <c r="AU31" s="17"/>
      <c r="AV31" s="17">
        <f t="shared" si="13"/>
        <v>71126</v>
      </c>
      <c r="AW31" s="17">
        <f t="shared" si="14"/>
        <v>46571</v>
      </c>
      <c r="AX31" s="17">
        <f t="shared" si="15"/>
        <v>0</v>
      </c>
      <c r="AY31" s="2"/>
      <c r="AZ31" s="17">
        <f t="shared" si="16"/>
        <v>46571</v>
      </c>
      <c r="BA31" s="17">
        <f t="shared" si="16"/>
        <v>0</v>
      </c>
    </row>
    <row r="32" spans="1:53" ht="12.9" x14ac:dyDescent="0.5">
      <c r="A32" s="2" t="s">
        <v>107</v>
      </c>
      <c r="B32" s="2"/>
      <c r="C32" s="28">
        <v>468</v>
      </c>
      <c r="D32" s="28">
        <v>482</v>
      </c>
      <c r="E32" s="28">
        <v>423</v>
      </c>
      <c r="F32" s="28">
        <v>384</v>
      </c>
      <c r="G32" s="28">
        <v>317</v>
      </c>
      <c r="H32" s="28">
        <v>222</v>
      </c>
      <c r="I32" s="28">
        <v>164</v>
      </c>
      <c r="J32" s="28">
        <v>147</v>
      </c>
      <c r="K32" s="28">
        <v>205</v>
      </c>
      <c r="L32" s="16">
        <v>222</v>
      </c>
      <c r="M32" s="16">
        <v>222</v>
      </c>
      <c r="N32" s="16">
        <v>234</v>
      </c>
      <c r="O32" s="16">
        <v>269</v>
      </c>
      <c r="P32" s="16">
        <v>672</v>
      </c>
      <c r="Q32" s="16">
        <v>1294</v>
      </c>
      <c r="R32" s="16">
        <v>2127</v>
      </c>
      <c r="S32" s="16">
        <v>0</v>
      </c>
      <c r="T32" s="16">
        <v>0</v>
      </c>
      <c r="U32" s="16">
        <v>0</v>
      </c>
      <c r="V32" s="16">
        <v>0</v>
      </c>
      <c r="W32" s="16">
        <v>0</v>
      </c>
      <c r="X32" s="16">
        <v>0</v>
      </c>
      <c r="Y32" s="16">
        <v>0</v>
      </c>
      <c r="Z32" s="16">
        <v>0</v>
      </c>
      <c r="AA32" s="16">
        <v>2557</v>
      </c>
      <c r="AB32" s="16">
        <v>3802</v>
      </c>
      <c r="AC32" s="16">
        <v>4763</v>
      </c>
      <c r="AD32" s="16">
        <v>4625</v>
      </c>
      <c r="AE32" s="16">
        <v>26664</v>
      </c>
      <c r="AF32" s="16">
        <v>39389</v>
      </c>
      <c r="AG32" s="16">
        <v>37361</v>
      </c>
      <c r="AH32" s="16">
        <v>35344</v>
      </c>
      <c r="AI32" s="16">
        <v>37087</v>
      </c>
      <c r="AJ32" s="16">
        <v>36865</v>
      </c>
      <c r="AK32" s="16">
        <v>56965</v>
      </c>
      <c r="AL32" s="16">
        <v>43127</v>
      </c>
      <c r="AM32" s="16">
        <v>43282</v>
      </c>
      <c r="AN32" s="16">
        <v>40813</v>
      </c>
      <c r="AO32" s="2"/>
      <c r="AP32" s="17">
        <f t="shared" ref="AP32:AS34" si="18">SUMIFS($C32:$U32,$C$7:$U$7,AP$7)</f>
        <v>1757</v>
      </c>
      <c r="AQ32" s="17">
        <f t="shared" si="18"/>
        <v>850</v>
      </c>
      <c r="AR32" s="17">
        <f t="shared" si="18"/>
        <v>883</v>
      </c>
      <c r="AS32" s="17">
        <f t="shared" si="18"/>
        <v>4362</v>
      </c>
      <c r="AT32" s="17">
        <f>SUMIFS($C32:$V32,$C$7:$V$7,AT$7)</f>
        <v>0</v>
      </c>
      <c r="AU32" s="17">
        <f>SUMIFS($C32:$Z32,$C$7:$Z$7,AU$7)</f>
        <v>0</v>
      </c>
      <c r="AV32" s="17">
        <f t="shared" si="13"/>
        <v>15747</v>
      </c>
      <c r="AW32" s="17">
        <f t="shared" si="14"/>
        <v>138758</v>
      </c>
      <c r="AX32" s="17">
        <f t="shared" si="15"/>
        <v>174044</v>
      </c>
      <c r="AY32" s="2"/>
      <c r="AZ32" s="17">
        <f t="shared" si="16"/>
        <v>149181</v>
      </c>
      <c r="BA32" s="17">
        <f t="shared" si="16"/>
        <v>180239</v>
      </c>
    </row>
    <row r="33" spans="1:53" ht="12.9" x14ac:dyDescent="0.5">
      <c r="A33" s="7" t="s">
        <v>108</v>
      </c>
      <c r="B33" s="2"/>
      <c r="C33" s="20">
        <f t="shared" ref="C33:AM33" si="19">SUM(C27:C32)</f>
        <v>120635</v>
      </c>
      <c r="D33" s="20">
        <f t="shared" si="19"/>
        <v>118416</v>
      </c>
      <c r="E33" s="20">
        <f t="shared" si="19"/>
        <v>148527</v>
      </c>
      <c r="F33" s="20">
        <f t="shared" si="19"/>
        <v>156910</v>
      </c>
      <c r="G33" s="20">
        <f t="shared" si="19"/>
        <v>207373</v>
      </c>
      <c r="H33" s="20">
        <f t="shared" si="19"/>
        <v>176319</v>
      </c>
      <c r="I33" s="20">
        <f t="shared" si="19"/>
        <v>182296</v>
      </c>
      <c r="J33" s="20">
        <f t="shared" si="19"/>
        <v>180503</v>
      </c>
      <c r="K33" s="20">
        <f t="shared" si="19"/>
        <v>187513</v>
      </c>
      <c r="L33" s="20">
        <f t="shared" si="19"/>
        <v>219653</v>
      </c>
      <c r="M33" s="20">
        <f t="shared" si="19"/>
        <v>233507</v>
      </c>
      <c r="N33" s="20">
        <f t="shared" si="19"/>
        <v>252839</v>
      </c>
      <c r="O33" s="20">
        <f t="shared" si="19"/>
        <v>276162</v>
      </c>
      <c r="P33" s="20">
        <f t="shared" si="19"/>
        <v>318463</v>
      </c>
      <c r="Q33" s="20">
        <f t="shared" si="19"/>
        <v>362527</v>
      </c>
      <c r="R33" s="20">
        <f t="shared" si="19"/>
        <v>383162</v>
      </c>
      <c r="S33" s="20">
        <f t="shared" si="19"/>
        <v>418796</v>
      </c>
      <c r="T33" s="20">
        <f t="shared" si="19"/>
        <v>466688</v>
      </c>
      <c r="U33" s="20">
        <f t="shared" si="19"/>
        <v>467943</v>
      </c>
      <c r="V33" s="20">
        <f t="shared" si="19"/>
        <v>509701</v>
      </c>
      <c r="W33" s="20">
        <f t="shared" si="19"/>
        <v>628789</v>
      </c>
      <c r="X33" s="20">
        <f t="shared" si="19"/>
        <v>619815</v>
      </c>
      <c r="Y33" s="20">
        <f t="shared" si="19"/>
        <v>745113</v>
      </c>
      <c r="Z33" s="20">
        <f t="shared" si="19"/>
        <v>758507</v>
      </c>
      <c r="AA33" s="20">
        <f t="shared" si="19"/>
        <v>895766</v>
      </c>
      <c r="AB33" s="20">
        <f t="shared" si="19"/>
        <v>1016069</v>
      </c>
      <c r="AC33" s="20">
        <f t="shared" si="19"/>
        <v>1110219</v>
      </c>
      <c r="AD33" s="20">
        <f t="shared" si="19"/>
        <v>1236657</v>
      </c>
      <c r="AE33" s="20">
        <f t="shared" si="19"/>
        <v>1521749</v>
      </c>
      <c r="AF33" s="20">
        <f t="shared" si="19"/>
        <v>1683421</v>
      </c>
      <c r="AG33" s="20">
        <f t="shared" si="19"/>
        <v>1615878</v>
      </c>
      <c r="AH33" s="20">
        <f t="shared" si="19"/>
        <v>1795376</v>
      </c>
      <c r="AI33" s="20">
        <f t="shared" si="19"/>
        <v>1720756</v>
      </c>
      <c r="AJ33" s="20">
        <f t="shared" si="19"/>
        <v>1998208</v>
      </c>
      <c r="AK33" s="20">
        <f t="shared" si="19"/>
        <v>1908357</v>
      </c>
      <c r="AL33" s="20">
        <f t="shared" si="19"/>
        <v>2156404</v>
      </c>
      <c r="AM33" s="20">
        <f t="shared" si="19"/>
        <v>1844730</v>
      </c>
      <c r="AN33" s="20">
        <v>1926918</v>
      </c>
      <c r="AO33" s="7"/>
      <c r="AP33" s="20">
        <f t="shared" si="18"/>
        <v>544488</v>
      </c>
      <c r="AQ33" s="20">
        <f t="shared" si="18"/>
        <v>746491</v>
      </c>
      <c r="AR33" s="20">
        <f t="shared" si="18"/>
        <v>893512</v>
      </c>
      <c r="AS33" s="20">
        <f t="shared" si="18"/>
        <v>1340314</v>
      </c>
      <c r="AT33" s="20">
        <f>SUMIFS($C33:$V33,$C$7:$V$7,AT$7)</f>
        <v>1863128</v>
      </c>
      <c r="AU33" s="20">
        <f>SUMIFS($C33:$Z33,$C$7:$Z$7,AU$7)</f>
        <v>2752224</v>
      </c>
      <c r="AV33" s="20">
        <f>SUM(AV27:AV32)</f>
        <v>4258711</v>
      </c>
      <c r="AW33" s="20">
        <f t="shared" si="14"/>
        <v>6616424</v>
      </c>
      <c r="AX33" s="20">
        <f t="shared" si="15"/>
        <v>7783725</v>
      </c>
      <c r="AY33" s="7"/>
      <c r="AZ33" s="20">
        <f t="shared" si="16"/>
        <v>6815431</v>
      </c>
      <c r="BA33" s="20">
        <f t="shared" si="16"/>
        <v>7907699</v>
      </c>
    </row>
    <row r="34" spans="1:53" ht="12.9" x14ac:dyDescent="0.5">
      <c r="A34" s="7" t="s">
        <v>109</v>
      </c>
      <c r="B34" s="2"/>
      <c r="C34" s="20">
        <f t="shared" ref="C34:W34" si="20">C24-C33</f>
        <v>-46350</v>
      </c>
      <c r="D34" s="20">
        <f t="shared" si="20"/>
        <v>-28074</v>
      </c>
      <c r="E34" s="20">
        <f t="shared" si="20"/>
        <v>-52217</v>
      </c>
      <c r="F34" s="20">
        <f t="shared" si="20"/>
        <v>-47817</v>
      </c>
      <c r="G34" s="20">
        <f t="shared" si="20"/>
        <v>-97133</v>
      </c>
      <c r="H34" s="20">
        <f t="shared" si="20"/>
        <v>-27360</v>
      </c>
      <c r="I34" s="20">
        <f t="shared" si="20"/>
        <v>-31982</v>
      </c>
      <c r="J34" s="20">
        <f t="shared" si="20"/>
        <v>-13978</v>
      </c>
      <c r="K34" s="20">
        <f t="shared" si="20"/>
        <v>-14082</v>
      </c>
      <c r="L34" s="20">
        <f t="shared" si="20"/>
        <v>-12224</v>
      </c>
      <c r="M34" s="20">
        <f t="shared" si="20"/>
        <v>-14891</v>
      </c>
      <c r="N34" s="20">
        <f t="shared" si="20"/>
        <v>-13009</v>
      </c>
      <c r="O34" s="20">
        <f t="shared" si="20"/>
        <v>-20992</v>
      </c>
      <c r="P34" s="20">
        <f t="shared" si="20"/>
        <v>-2647</v>
      </c>
      <c r="Q34" s="20">
        <f t="shared" si="20"/>
        <v>-9867</v>
      </c>
      <c r="R34" s="20">
        <f t="shared" si="20"/>
        <v>-3108</v>
      </c>
      <c r="S34" s="20">
        <f t="shared" si="20"/>
        <v>-22042</v>
      </c>
      <c r="T34" s="20">
        <f t="shared" si="20"/>
        <v>-843</v>
      </c>
      <c r="U34" s="20">
        <f t="shared" si="20"/>
        <v>32094</v>
      </c>
      <c r="V34" s="20">
        <f t="shared" si="20"/>
        <v>17348</v>
      </c>
      <c r="W34" s="20">
        <f t="shared" si="20"/>
        <v>-90288</v>
      </c>
      <c r="X34" s="20">
        <v>-23052</v>
      </c>
      <c r="Y34" s="20">
        <v>49342</v>
      </c>
      <c r="Z34" s="20">
        <f>-18815-SUM(W34:Y34)</f>
        <v>45183</v>
      </c>
      <c r="AA34" s="20">
        <f t="shared" ref="AA34:AM34" si="21">AA24-AA33</f>
        <v>67734</v>
      </c>
      <c r="AB34" s="20">
        <f t="shared" si="21"/>
        <v>124996</v>
      </c>
      <c r="AC34" s="20">
        <f t="shared" si="21"/>
        <v>22996</v>
      </c>
      <c r="AD34" s="20">
        <f t="shared" si="21"/>
        <v>-54615</v>
      </c>
      <c r="AE34" s="20">
        <f t="shared" si="21"/>
        <v>-226789</v>
      </c>
      <c r="AF34" s="20">
        <f t="shared" si="21"/>
        <v>-213773</v>
      </c>
      <c r="AG34" s="20">
        <f t="shared" si="21"/>
        <v>-48789</v>
      </c>
      <c r="AH34" s="20">
        <f t="shared" si="21"/>
        <v>-135181</v>
      </c>
      <c r="AI34" s="20">
        <f t="shared" si="21"/>
        <v>-6172</v>
      </c>
      <c r="AJ34" s="20">
        <f t="shared" si="21"/>
        <v>-132107</v>
      </c>
      <c r="AK34" s="20">
        <f t="shared" si="21"/>
        <v>-9908</v>
      </c>
      <c r="AL34" s="20">
        <f t="shared" si="21"/>
        <v>-130652</v>
      </c>
      <c r="AM34" s="20">
        <f t="shared" si="21"/>
        <v>249743</v>
      </c>
      <c r="AN34" s="20">
        <v>306562</v>
      </c>
      <c r="AO34" s="2"/>
      <c r="AP34" s="20">
        <f t="shared" si="18"/>
        <v>-174458</v>
      </c>
      <c r="AQ34" s="20">
        <f t="shared" si="18"/>
        <v>-170453</v>
      </c>
      <c r="AR34" s="20">
        <f t="shared" si="18"/>
        <v>-54206</v>
      </c>
      <c r="AS34" s="20">
        <f t="shared" si="18"/>
        <v>-36614</v>
      </c>
      <c r="AT34" s="20">
        <f>SUMIFS($C34:$V34,$C$7:$V$7,AT$7)</f>
        <v>26557</v>
      </c>
      <c r="AU34" s="20">
        <f>SUMIFS($C34:$Z34,$C$7:$Z$7,AU$7)</f>
        <v>-18815</v>
      </c>
      <c r="AV34" s="20">
        <f>AV24-AV33</f>
        <v>161112</v>
      </c>
      <c r="AW34" s="20">
        <f t="shared" si="14"/>
        <v>-624532</v>
      </c>
      <c r="AX34" s="20">
        <f t="shared" si="15"/>
        <v>-278839</v>
      </c>
      <c r="AY34" s="2"/>
      <c r="AZ34" s="20">
        <f t="shared" si="16"/>
        <v>-403915</v>
      </c>
      <c r="BA34" s="20">
        <f t="shared" si="16"/>
        <v>-22924</v>
      </c>
    </row>
    <row r="35" spans="1:53" ht="12.9" x14ac:dyDescent="0.5">
      <c r="A35" s="2" t="s">
        <v>110</v>
      </c>
      <c r="B35" s="2"/>
      <c r="C35" s="2"/>
      <c r="D35" s="2"/>
      <c r="E35" s="2"/>
      <c r="F35" s="2"/>
      <c r="G35" s="2"/>
      <c r="H35" s="2"/>
      <c r="I35" s="2"/>
      <c r="J35" s="2"/>
      <c r="K35" s="2"/>
      <c r="L35" s="2"/>
      <c r="M35" s="2"/>
      <c r="N35" s="2"/>
      <c r="O35" s="2"/>
      <c r="P35" s="2"/>
      <c r="Q35" s="2"/>
      <c r="R35" s="2"/>
      <c r="S35" s="2"/>
      <c r="T35" s="2"/>
      <c r="U35" s="2"/>
      <c r="V35" s="29">
        <v>-373445</v>
      </c>
      <c r="W35" s="2"/>
      <c r="X35" s="2"/>
      <c r="Y35" s="29"/>
      <c r="Z35" s="76"/>
      <c r="AA35" s="76"/>
      <c r="AB35" s="76"/>
      <c r="AC35" s="76"/>
      <c r="AD35" s="76"/>
      <c r="AE35" s="76"/>
      <c r="AF35" s="76"/>
      <c r="AG35" s="76"/>
      <c r="AH35" s="76"/>
      <c r="AI35" s="76"/>
      <c r="AJ35" s="76"/>
      <c r="AK35" s="76"/>
      <c r="AL35" s="76"/>
      <c r="AM35" s="76"/>
      <c r="AN35" s="76"/>
      <c r="AO35" s="2"/>
      <c r="AP35" s="2"/>
      <c r="AQ35" s="2"/>
      <c r="AR35" s="2"/>
      <c r="AS35" s="2"/>
      <c r="AT35" s="2"/>
      <c r="AU35" s="2"/>
      <c r="AV35" s="17"/>
      <c r="AW35" s="17"/>
      <c r="AX35" s="17"/>
      <c r="AY35" s="2"/>
      <c r="AZ35" s="2">
        <f t="shared" si="16"/>
        <v>0</v>
      </c>
      <c r="BA35" s="2">
        <f t="shared" si="16"/>
        <v>0</v>
      </c>
    </row>
    <row r="36" spans="1:53" ht="12.9" x14ac:dyDescent="0.5">
      <c r="A36" s="2" t="s">
        <v>111</v>
      </c>
      <c r="B36" s="2"/>
      <c r="C36" s="29">
        <v>414</v>
      </c>
      <c r="D36" s="29">
        <v>444</v>
      </c>
      <c r="E36" s="29">
        <v>137</v>
      </c>
      <c r="F36" s="29">
        <v>168</v>
      </c>
      <c r="G36" s="29">
        <v>69</v>
      </c>
      <c r="H36" s="29">
        <v>-129</v>
      </c>
      <c r="I36" s="29">
        <v>-183</v>
      </c>
      <c r="J36" s="29">
        <v>-290</v>
      </c>
      <c r="K36" s="29">
        <v>996</v>
      </c>
      <c r="L36" s="29">
        <v>3494</v>
      </c>
      <c r="M36" s="29">
        <v>3080</v>
      </c>
      <c r="N36" s="29">
        <v>2483</v>
      </c>
      <c r="O36" s="29">
        <v>2112</v>
      </c>
      <c r="P36" s="29">
        <v>3470</v>
      </c>
      <c r="Q36" s="29">
        <v>7224</v>
      </c>
      <c r="R36" s="29">
        <v>5176</v>
      </c>
      <c r="S36" s="29">
        <v>4681</v>
      </c>
      <c r="T36" s="29">
        <v>5143</v>
      </c>
      <c r="U36" s="29">
        <v>5632</v>
      </c>
      <c r="V36" s="29">
        <v>6060</v>
      </c>
      <c r="W36" s="29">
        <v>9206</v>
      </c>
      <c r="X36" s="29">
        <v>14769</v>
      </c>
      <c r="Y36" s="29">
        <v>14980</v>
      </c>
      <c r="Z36" s="29">
        <v>17988</v>
      </c>
      <c r="AA36" s="29">
        <v>253</v>
      </c>
      <c r="AB36" s="29">
        <v>6464</v>
      </c>
      <c r="AC36" s="29">
        <v>13409</v>
      </c>
      <c r="AD36" s="29">
        <v>12998</v>
      </c>
      <c r="AE36" s="29">
        <v>15748</v>
      </c>
      <c r="AF36" s="29">
        <v>12966</v>
      </c>
      <c r="AG36" s="29">
        <v>6042</v>
      </c>
      <c r="AH36" s="29">
        <v>1472</v>
      </c>
      <c r="AI36" s="29">
        <v>-3161</v>
      </c>
      <c r="AJ36" s="29">
        <v>-3944</v>
      </c>
      <c r="AK36" s="29">
        <v>-21415</v>
      </c>
      <c r="AL36" s="29">
        <v>-18701</v>
      </c>
      <c r="AM36" s="29">
        <v>-18745</v>
      </c>
      <c r="AN36" s="29">
        <v>-1871</v>
      </c>
      <c r="AO36" s="2"/>
      <c r="AP36" s="18">
        <f>SUMIFS($C36:$V36,$C$7:$V$7,AP$7)</f>
        <v>1163</v>
      </c>
      <c r="AQ36" s="18">
        <f t="shared" ref="AQ36:AS37" si="22">SUMIFS($C36:$U36,$C$7:$U$7,AQ$7)</f>
        <v>-533</v>
      </c>
      <c r="AR36" s="18">
        <f t="shared" si="22"/>
        <v>10053</v>
      </c>
      <c r="AS36" s="18">
        <f t="shared" si="22"/>
        <v>17982</v>
      </c>
      <c r="AT36" s="18">
        <f>SUMIFS($C36:$V36,$C$7:$V$7,AT$7)</f>
        <v>21516</v>
      </c>
      <c r="AU36" s="18">
        <f>SUMIFS($C36:$Z36,$C$7:$Z$7,AU$7)</f>
        <v>56943</v>
      </c>
      <c r="AV36" s="18">
        <f>SUMIFS($C36:$AD36,$C$7:$AD$7,AV$7)</f>
        <v>33124</v>
      </c>
      <c r="AW36" s="18">
        <f>SUMIFS($C36:$AH36,$C$7:$AH$7,AW$7)</f>
        <v>36228</v>
      </c>
      <c r="AX36" s="18">
        <f>SUMIFS($C36:$AL36,$C$7:$AL$7,AX$7)</f>
        <v>-47221</v>
      </c>
      <c r="AY36" s="2"/>
      <c r="AZ36" s="18">
        <f t="shared" si="16"/>
        <v>17319</v>
      </c>
      <c r="BA36" s="18">
        <f t="shared" si="16"/>
        <v>-62805</v>
      </c>
    </row>
    <row r="37" spans="1:53" ht="12.9" x14ac:dyDescent="0.5">
      <c r="A37" s="2" t="s">
        <v>112</v>
      </c>
      <c r="B37" s="2"/>
      <c r="C37" s="29">
        <v>796</v>
      </c>
      <c r="D37" s="29">
        <v>-50</v>
      </c>
      <c r="E37" s="29">
        <v>644</v>
      </c>
      <c r="F37" s="29">
        <v>-940</v>
      </c>
      <c r="G37" s="29">
        <v>-786</v>
      </c>
      <c r="H37" s="29">
        <v>-198</v>
      </c>
      <c r="I37" s="29">
        <v>294</v>
      </c>
      <c r="J37" s="29">
        <v>443</v>
      </c>
      <c r="K37" s="29">
        <v>-497</v>
      </c>
      <c r="L37" s="29">
        <v>-228</v>
      </c>
      <c r="M37" s="29">
        <v>-1226</v>
      </c>
      <c r="N37" s="29">
        <v>356</v>
      </c>
      <c r="O37" s="29">
        <v>707</v>
      </c>
      <c r="P37" s="29">
        <v>-815</v>
      </c>
      <c r="Q37" s="29">
        <v>-37800</v>
      </c>
      <c r="R37" s="29">
        <v>19439</v>
      </c>
      <c r="S37" s="29">
        <v>11299</v>
      </c>
      <c r="T37" s="29">
        <v>1230</v>
      </c>
      <c r="U37" s="29">
        <v>-5541</v>
      </c>
      <c r="V37" s="29">
        <v>-6715</v>
      </c>
      <c r="W37" s="29">
        <v>5862</v>
      </c>
      <c r="X37" s="29">
        <v>-25591</v>
      </c>
      <c r="Y37" s="29">
        <v>-784</v>
      </c>
      <c r="Z37" s="29">
        <v>-271212</v>
      </c>
      <c r="AA37" s="29">
        <v>27528</v>
      </c>
      <c r="AB37" s="29">
        <v>-75788</v>
      </c>
      <c r="AC37" s="29">
        <v>12011</v>
      </c>
      <c r="AD37" s="29">
        <v>6776</v>
      </c>
      <c r="AE37" s="29">
        <v>-33472</v>
      </c>
      <c r="AF37" s="29">
        <v>-18766</v>
      </c>
      <c r="AG37" s="29">
        <v>-18798</v>
      </c>
      <c r="AH37" s="29">
        <v>-24407</v>
      </c>
      <c r="AI37" s="29">
        <v>18371</v>
      </c>
      <c r="AJ37" s="29">
        <v>1379</v>
      </c>
      <c r="AK37" s="29">
        <v>-4262</v>
      </c>
      <c r="AL37" s="29">
        <v>-217963</v>
      </c>
      <c r="AM37" s="29">
        <v>-237824</v>
      </c>
      <c r="AN37" s="29">
        <v>59532</v>
      </c>
      <c r="AO37" s="2"/>
      <c r="AP37" s="18">
        <f>SUMIFS($C37:$U37,$C$7:$U$7,AP$7)</f>
        <v>450</v>
      </c>
      <c r="AQ37" s="18">
        <f t="shared" si="22"/>
        <v>-247</v>
      </c>
      <c r="AR37" s="18">
        <f t="shared" si="22"/>
        <v>-1595</v>
      </c>
      <c r="AS37" s="18">
        <f t="shared" si="22"/>
        <v>-18469</v>
      </c>
      <c r="AT37" s="18">
        <f>SUMIFS($C37:$V37,$C$7:$V$7,AT$7)</f>
        <v>273</v>
      </c>
      <c r="AU37" s="18">
        <f>SUMIFS($C37:$Z37,$C$7:$Z$7,AU$7)</f>
        <v>-291725</v>
      </c>
      <c r="AV37" s="18">
        <f>SUMIFS($C37:$AD37,$C$7:$AD$7,AV$7)</f>
        <v>-29473</v>
      </c>
      <c r="AW37" s="18">
        <f>SUMIFS($C37:$AH37,$C$7:$AH$7,AW$7)</f>
        <v>-95443</v>
      </c>
      <c r="AX37" s="18">
        <f>SUMIFS($C37:$AL37,$C$7:$AL$7,AX$7)</f>
        <v>-202475</v>
      </c>
      <c r="AY37" s="2"/>
      <c r="AZ37" s="18">
        <f t="shared" si="16"/>
        <v>-43600</v>
      </c>
      <c r="BA37" s="18">
        <f t="shared" si="16"/>
        <v>-458670</v>
      </c>
    </row>
    <row r="38" spans="1:53" ht="12.9" x14ac:dyDescent="0.5">
      <c r="A38" s="2" t="s">
        <v>113</v>
      </c>
      <c r="B38" s="2"/>
      <c r="C38" s="20">
        <f t="shared" ref="C38:U38" si="23">C34-SUM(C36:C37)</f>
        <v>-47560</v>
      </c>
      <c r="D38" s="20">
        <f t="shared" si="23"/>
        <v>-28468</v>
      </c>
      <c r="E38" s="20">
        <f t="shared" si="23"/>
        <v>-52998</v>
      </c>
      <c r="F38" s="20">
        <f t="shared" si="23"/>
        <v>-47045</v>
      </c>
      <c r="G38" s="20">
        <f t="shared" si="23"/>
        <v>-96416</v>
      </c>
      <c r="H38" s="20">
        <f t="shared" si="23"/>
        <v>-27033</v>
      </c>
      <c r="I38" s="20">
        <f t="shared" si="23"/>
        <v>-32093</v>
      </c>
      <c r="J38" s="20">
        <f t="shared" si="23"/>
        <v>-14131</v>
      </c>
      <c r="K38" s="20">
        <f t="shared" si="23"/>
        <v>-14581</v>
      </c>
      <c r="L38" s="20">
        <f t="shared" si="23"/>
        <v>-15490</v>
      </c>
      <c r="M38" s="20">
        <f t="shared" si="23"/>
        <v>-16745</v>
      </c>
      <c r="N38" s="20">
        <f t="shared" si="23"/>
        <v>-15848</v>
      </c>
      <c r="O38" s="20">
        <f t="shared" si="23"/>
        <v>-23811</v>
      </c>
      <c r="P38" s="20">
        <f t="shared" si="23"/>
        <v>-5302</v>
      </c>
      <c r="Q38" s="20">
        <f t="shared" si="23"/>
        <v>20709</v>
      </c>
      <c r="R38" s="20">
        <f t="shared" si="23"/>
        <v>-27723</v>
      </c>
      <c r="S38" s="20">
        <f t="shared" si="23"/>
        <v>-38022</v>
      </c>
      <c r="T38" s="20">
        <f t="shared" si="23"/>
        <v>-7216</v>
      </c>
      <c r="U38" s="20">
        <f t="shared" si="23"/>
        <v>32003</v>
      </c>
      <c r="V38" s="20">
        <f t="shared" ref="V38:AM38" si="24">V34-V35- SUM(V36:V37)</f>
        <v>391448</v>
      </c>
      <c r="W38" s="85">
        <f t="shared" si="24"/>
        <v>-105356</v>
      </c>
      <c r="X38" s="20">
        <f t="shared" si="24"/>
        <v>-12230</v>
      </c>
      <c r="Y38" s="20">
        <f t="shared" si="24"/>
        <v>35146</v>
      </c>
      <c r="Z38" s="20">
        <f t="shared" si="24"/>
        <v>298407</v>
      </c>
      <c r="AA38" s="20">
        <f t="shared" si="24"/>
        <v>39953</v>
      </c>
      <c r="AB38" s="20">
        <f t="shared" si="24"/>
        <v>194320</v>
      </c>
      <c r="AC38" s="20">
        <f t="shared" si="24"/>
        <v>-2424</v>
      </c>
      <c r="AD38" s="20">
        <f t="shared" si="24"/>
        <v>-74389</v>
      </c>
      <c r="AE38" s="20">
        <f t="shared" si="24"/>
        <v>-209065</v>
      </c>
      <c r="AF38" s="20">
        <f t="shared" si="24"/>
        <v>-207973</v>
      </c>
      <c r="AG38" s="20">
        <f t="shared" si="24"/>
        <v>-36033</v>
      </c>
      <c r="AH38" s="20">
        <f t="shared" si="24"/>
        <v>-112246</v>
      </c>
      <c r="AI38" s="20">
        <f t="shared" si="24"/>
        <v>-21382</v>
      </c>
      <c r="AJ38" s="20">
        <f t="shared" si="24"/>
        <v>-129542</v>
      </c>
      <c r="AK38" s="20">
        <f t="shared" si="24"/>
        <v>15769</v>
      </c>
      <c r="AL38" s="20">
        <f t="shared" si="24"/>
        <v>106012</v>
      </c>
      <c r="AM38" s="20">
        <f t="shared" si="24"/>
        <v>506312</v>
      </c>
      <c r="AN38" s="20">
        <v>248901</v>
      </c>
      <c r="AO38" s="2"/>
      <c r="AP38" s="20">
        <f>SUMIF($C$7:$T$7,AP$7,$C38:$T38)</f>
        <v>-176071</v>
      </c>
      <c r="AQ38" s="20">
        <f>SUMIF($C$7:$T$7,AQ$7,$C38:$T38)</f>
        <v>-169673</v>
      </c>
      <c r="AR38" s="20">
        <f>SUMIF($C$7:$T$7,AR$7,$C38:$T38)</f>
        <v>-62664</v>
      </c>
      <c r="AS38" s="20">
        <f>SUMIF($C$7:$T$7,AS$7,$C38:$T38)</f>
        <v>-36127</v>
      </c>
      <c r="AT38" s="20">
        <f>SUMIFS($C38:$V38,$C$7:$V$7,AT$7)</f>
        <v>378213</v>
      </c>
      <c r="AU38" s="20">
        <f>SUMIFS($C38:$Z38,$C$7:$Z$7,AU$7)</f>
        <v>215967</v>
      </c>
      <c r="AV38" s="20">
        <f>AV34-AV35- SUM(AV36:AV37)</f>
        <v>157461</v>
      </c>
      <c r="AW38" s="20">
        <f>SUMIFS($C38:$AH38,$C$7:$AH$7,AW$7)</f>
        <v>-565317</v>
      </c>
      <c r="AX38" s="20">
        <f>SUMIFS($C38:$AL38,$C$7:$AL$7,AX$7)</f>
        <v>-29143</v>
      </c>
      <c r="AY38" s="2"/>
      <c r="AZ38" s="20">
        <f t="shared" si="16"/>
        <v>-377634</v>
      </c>
      <c r="BA38" s="20">
        <f t="shared" si="16"/>
        <v>498551</v>
      </c>
    </row>
    <row r="39" spans="1:53" ht="12.9" x14ac:dyDescent="0.5">
      <c r="A39" s="2" t="s">
        <v>114</v>
      </c>
      <c r="B39" s="2"/>
      <c r="C39" s="29">
        <v>418</v>
      </c>
      <c r="D39" s="29">
        <v>1152</v>
      </c>
      <c r="E39" s="29">
        <v>932</v>
      </c>
      <c r="F39" s="29">
        <v>1244</v>
      </c>
      <c r="G39" s="29">
        <v>339</v>
      </c>
      <c r="H39" s="29">
        <v>312</v>
      </c>
      <c r="I39" s="29">
        <v>230</v>
      </c>
      <c r="J39" s="29">
        <v>1036</v>
      </c>
      <c r="K39" s="29">
        <v>509</v>
      </c>
      <c r="L39" s="29">
        <v>472</v>
      </c>
      <c r="M39" s="29">
        <v>-647</v>
      </c>
      <c r="N39" s="29">
        <v>-185</v>
      </c>
      <c r="O39" s="29">
        <v>175</v>
      </c>
      <c r="P39" s="29">
        <v>604</v>
      </c>
      <c r="Q39" s="29">
        <v>1066</v>
      </c>
      <c r="R39" s="29">
        <v>481</v>
      </c>
      <c r="S39" s="29">
        <v>129</v>
      </c>
      <c r="T39" s="29">
        <v>-476</v>
      </c>
      <c r="U39" s="29">
        <v>2606</v>
      </c>
      <c r="V39" s="29">
        <v>508</v>
      </c>
      <c r="W39" s="29">
        <v>535</v>
      </c>
      <c r="X39" s="29">
        <v>-752</v>
      </c>
      <c r="Y39" s="29">
        <v>-1369</v>
      </c>
      <c r="Z39" s="29">
        <v>4448</v>
      </c>
      <c r="AA39" s="29">
        <v>947</v>
      </c>
      <c r="AB39" s="29">
        <v>-9360</v>
      </c>
      <c r="AC39" s="29">
        <v>452</v>
      </c>
      <c r="AD39" s="29">
        <v>6597</v>
      </c>
      <c r="AE39" s="29">
        <v>-1702</v>
      </c>
      <c r="AF39" s="29">
        <v>1304</v>
      </c>
      <c r="AG39" s="29">
        <v>-17289</v>
      </c>
      <c r="AH39" s="29">
        <v>5375</v>
      </c>
      <c r="AI39" s="29">
        <v>-2056</v>
      </c>
      <c r="AJ39" s="29">
        <v>-3700</v>
      </c>
      <c r="AK39" s="29">
        <v>49529</v>
      </c>
      <c r="AL39" s="29">
        <v>-51792</v>
      </c>
      <c r="AM39" s="29">
        <v>35492</v>
      </c>
      <c r="AN39" s="29">
        <v>59029</v>
      </c>
      <c r="AO39" s="2"/>
      <c r="AP39" s="18">
        <f>SUMIFS($C39:$U39,$C$7:$U$7,AP$7)</f>
        <v>3746</v>
      </c>
      <c r="AQ39" s="18">
        <f>SUMIFS($C39:$U39,$C$7:$U$7,AQ$7)</f>
        <v>1917</v>
      </c>
      <c r="AR39" s="18">
        <f>SUMIFS($C39:$U39,$C$7:$U$7,AR$7)</f>
        <v>149</v>
      </c>
      <c r="AS39" s="18">
        <f>SUMIFS($C39:$U39,$C$7:$U$7,AS$7)</f>
        <v>2326</v>
      </c>
      <c r="AT39" s="18">
        <f>SUMIFS($C39:$V39,$C$7:$V$7,AT$7)</f>
        <v>2767</v>
      </c>
      <c r="AU39" s="18">
        <f>SUMIFS($C39:$Z39,$C$7:$Z$7,AU$7)</f>
        <v>2862</v>
      </c>
      <c r="AV39" s="18">
        <f>SUMIFS($C39:$AD39,$C$7:$AD$7,AV$7)</f>
        <v>-1364</v>
      </c>
      <c r="AW39" s="18">
        <f>SUMIFS($C39:$AH39,$C$7:$AH$7,AW$7)</f>
        <v>-12312</v>
      </c>
      <c r="AX39" s="18">
        <f>SUMIFS($C39:$AL39,$C$7:$AL$7,AX$7)</f>
        <v>-8019</v>
      </c>
      <c r="AY39" s="2"/>
      <c r="AZ39" s="18">
        <f t="shared" si="16"/>
        <v>-12666</v>
      </c>
      <c r="BA39" s="18">
        <f t="shared" si="16"/>
        <v>29529</v>
      </c>
    </row>
    <row r="40" spans="1:53" ht="12.9" outlineLevel="1" x14ac:dyDescent="0.5">
      <c r="A40" s="13" t="s">
        <v>115</v>
      </c>
      <c r="B40" s="13"/>
      <c r="C40" s="13"/>
      <c r="D40" s="13"/>
      <c r="E40" s="13"/>
      <c r="F40" s="24">
        <v>-32200</v>
      </c>
      <c r="G40" s="13"/>
      <c r="H40" s="13"/>
      <c r="I40" s="13"/>
      <c r="J40" s="13"/>
      <c r="K40" s="13"/>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c r="AT40" s="13"/>
      <c r="AU40" s="13"/>
      <c r="AV40" s="13"/>
      <c r="AW40" s="13"/>
      <c r="AX40" s="13"/>
      <c r="AY40" s="13"/>
      <c r="AZ40" s="13"/>
      <c r="BA40" s="13"/>
    </row>
    <row r="41" spans="1:53" ht="12.9" outlineLevel="1" x14ac:dyDescent="0.5">
      <c r="A41" s="2" t="s">
        <v>116</v>
      </c>
      <c r="B41" s="2"/>
      <c r="C41" s="2"/>
      <c r="D41" s="2"/>
      <c r="E41" s="2"/>
      <c r="F41" s="38">
        <f>F42+F40</f>
        <v>-80489</v>
      </c>
      <c r="G41" s="2"/>
      <c r="H41" s="2"/>
      <c r="I41" s="2"/>
      <c r="J41" s="2"/>
      <c r="K41" s="2"/>
      <c r="L41" s="2"/>
      <c r="M41" s="2"/>
      <c r="N41" s="2"/>
      <c r="O41" s="2"/>
      <c r="P41" s="2"/>
      <c r="Q41" s="2"/>
      <c r="R41" s="2"/>
      <c r="S41" s="2"/>
      <c r="T41" s="2"/>
      <c r="U41" s="2"/>
      <c r="V41" s="2"/>
      <c r="W41" s="2"/>
      <c r="X41" s="2"/>
      <c r="Y41" s="2"/>
      <c r="Z41" s="2"/>
      <c r="AA41" s="2"/>
      <c r="AB41" s="2"/>
      <c r="AC41" s="2"/>
      <c r="AD41" s="2"/>
      <c r="AE41" s="2"/>
      <c r="AO41" s="2"/>
      <c r="AP41" s="2"/>
      <c r="AQ41" s="2"/>
      <c r="AR41" s="2"/>
      <c r="AS41" s="2"/>
      <c r="AT41" s="2"/>
      <c r="AU41" s="2"/>
      <c r="AV41" s="2"/>
      <c r="AW41" s="2"/>
      <c r="AX41" s="2"/>
      <c r="AY41" s="2"/>
      <c r="AZ41" s="2"/>
      <c r="BA41" s="2"/>
    </row>
    <row r="42" spans="1:53" ht="12.9" x14ac:dyDescent="0.5">
      <c r="A42" s="2" t="s">
        <v>117</v>
      </c>
      <c r="B42" s="2"/>
      <c r="C42" s="20">
        <f t="shared" ref="C42:AM42" si="25">C38-C39</f>
        <v>-47978</v>
      </c>
      <c r="D42" s="20">
        <f t="shared" si="25"/>
        <v>-29620</v>
      </c>
      <c r="E42" s="20">
        <f t="shared" si="25"/>
        <v>-53930</v>
      </c>
      <c r="F42" s="20">
        <f t="shared" si="25"/>
        <v>-48289</v>
      </c>
      <c r="G42" s="20">
        <f t="shared" si="25"/>
        <v>-96755</v>
      </c>
      <c r="H42" s="20">
        <f t="shared" si="25"/>
        <v>-27345</v>
      </c>
      <c r="I42" s="20">
        <f t="shared" si="25"/>
        <v>-32323</v>
      </c>
      <c r="J42" s="20">
        <f t="shared" si="25"/>
        <v>-15167</v>
      </c>
      <c r="K42" s="20">
        <f t="shared" si="25"/>
        <v>-15090</v>
      </c>
      <c r="L42" s="20">
        <f t="shared" si="25"/>
        <v>-15962</v>
      </c>
      <c r="M42" s="20">
        <f t="shared" si="25"/>
        <v>-16098</v>
      </c>
      <c r="N42" s="20">
        <f t="shared" si="25"/>
        <v>-15663</v>
      </c>
      <c r="O42" s="20">
        <f t="shared" si="25"/>
        <v>-23986</v>
      </c>
      <c r="P42" s="20">
        <f t="shared" si="25"/>
        <v>-5906</v>
      </c>
      <c r="Q42" s="20">
        <f t="shared" si="25"/>
        <v>19643</v>
      </c>
      <c r="R42" s="20">
        <f t="shared" si="25"/>
        <v>-28204</v>
      </c>
      <c r="S42" s="20">
        <f t="shared" si="25"/>
        <v>-38151</v>
      </c>
      <c r="T42" s="20">
        <f t="shared" si="25"/>
        <v>-6740</v>
      </c>
      <c r="U42" s="20">
        <f t="shared" si="25"/>
        <v>29397</v>
      </c>
      <c r="V42" s="20">
        <f t="shared" si="25"/>
        <v>390940</v>
      </c>
      <c r="W42" s="20">
        <f t="shared" si="25"/>
        <v>-105891</v>
      </c>
      <c r="X42" s="20">
        <f t="shared" si="25"/>
        <v>-11478</v>
      </c>
      <c r="Y42" s="20">
        <f t="shared" si="25"/>
        <v>36515</v>
      </c>
      <c r="Z42" s="20">
        <f t="shared" si="25"/>
        <v>293959</v>
      </c>
      <c r="AA42" s="20">
        <f t="shared" si="25"/>
        <v>39006</v>
      </c>
      <c r="AB42" s="20">
        <f t="shared" si="25"/>
        <v>203680</v>
      </c>
      <c r="AC42" s="20">
        <f t="shared" si="25"/>
        <v>-2876</v>
      </c>
      <c r="AD42" s="20">
        <f t="shared" si="25"/>
        <v>-80986</v>
      </c>
      <c r="AE42" s="20">
        <f t="shared" si="25"/>
        <v>-207363</v>
      </c>
      <c r="AF42" s="20">
        <f t="shared" si="25"/>
        <v>-209277</v>
      </c>
      <c r="AG42" s="20">
        <f t="shared" si="25"/>
        <v>-18744</v>
      </c>
      <c r="AH42" s="20">
        <f t="shared" si="25"/>
        <v>-117621</v>
      </c>
      <c r="AI42" s="20">
        <f t="shared" si="25"/>
        <v>-19326</v>
      </c>
      <c r="AJ42" s="20">
        <f t="shared" si="25"/>
        <v>-125842</v>
      </c>
      <c r="AK42" s="20">
        <f t="shared" si="25"/>
        <v>-33760</v>
      </c>
      <c r="AL42" s="20">
        <f t="shared" si="25"/>
        <v>157804</v>
      </c>
      <c r="AM42" s="20">
        <f t="shared" si="25"/>
        <v>470820</v>
      </c>
      <c r="AN42" s="20">
        <v>189872</v>
      </c>
      <c r="AO42" s="2"/>
      <c r="AP42" s="20">
        <f>SUMIF($C$7:$T$7,AP$7,$C42:$T42)</f>
        <v>-179817</v>
      </c>
      <c r="AQ42" s="20">
        <f>SUMIF($C$7:$T$7,AQ$7,$C42:$T42)</f>
        <v>-171590</v>
      </c>
      <c r="AR42" s="20">
        <f>SUMIF($C$7:$T$7,AR$7,$C42:$T42)</f>
        <v>-62813</v>
      </c>
      <c r="AS42" s="20">
        <f>SUMIF($C$7:$T$7,AS$7,$C42:$T42)</f>
        <v>-38453</v>
      </c>
      <c r="AT42" s="20">
        <f>SUMIFS($C42:$V42,$C$7:$V$7,AT$7)</f>
        <v>375446</v>
      </c>
      <c r="AU42" s="20">
        <f>SUMIFS($C42:$Z42,$C$7:$Z$7,AU$7)</f>
        <v>213105</v>
      </c>
      <c r="AV42" s="20">
        <f>AV38-AV39</f>
        <v>158825</v>
      </c>
      <c r="AW42" s="20">
        <f>SUMIFS($C42:$AH42,$C$7:$AH$7,AW$7)</f>
        <v>-553005</v>
      </c>
      <c r="AX42" s="20">
        <f>SUMIFS($C42:$AL42,$C$7:$AL$7,AX$7)</f>
        <v>-21124</v>
      </c>
      <c r="AY42" s="2"/>
      <c r="AZ42" s="20">
        <f t="shared" ref="AZ42:BA44" si="26">SUMIFS($C42:$AM42,$C$5:$AM$5,"&lt;="&amp;AZ$5,$C$5:$AM$5,"&gt;"&amp;EOMONTH(AZ$5,-12))</f>
        <v>-364968</v>
      </c>
      <c r="BA42" s="20">
        <f t="shared" si="26"/>
        <v>469022</v>
      </c>
    </row>
    <row r="43" spans="1:53" ht="12.9" x14ac:dyDescent="0.5">
      <c r="A43" s="2" t="s">
        <v>118</v>
      </c>
      <c r="B43" s="2"/>
      <c r="C43" s="2"/>
      <c r="D43" s="2"/>
      <c r="E43" s="2"/>
      <c r="F43" s="2"/>
      <c r="G43" s="2"/>
      <c r="H43" s="2"/>
      <c r="I43" s="2"/>
      <c r="J43" s="2"/>
      <c r="K43" s="2"/>
      <c r="L43" s="2"/>
      <c r="M43" s="2"/>
      <c r="N43" s="2"/>
      <c r="O43" s="29"/>
      <c r="P43" s="29"/>
      <c r="Q43" s="29"/>
      <c r="R43" s="29"/>
      <c r="S43" s="29"/>
      <c r="T43" s="29"/>
      <c r="U43" s="29"/>
      <c r="V43" s="29"/>
      <c r="W43" s="29"/>
      <c r="X43" s="29"/>
      <c r="Y43" s="29"/>
      <c r="Z43" s="29"/>
      <c r="AA43" s="29"/>
      <c r="AB43" s="29">
        <v>-343</v>
      </c>
      <c r="AC43" s="29">
        <v>-2960</v>
      </c>
      <c r="AD43" s="29">
        <v>-4155</v>
      </c>
      <c r="AE43" s="29">
        <v>-3164</v>
      </c>
      <c r="AF43" s="29">
        <v>-1263</v>
      </c>
      <c r="AG43" s="29">
        <v>-4033</v>
      </c>
      <c r="AH43" s="29">
        <v>-3798</v>
      </c>
      <c r="AI43" s="29">
        <v>-2488</v>
      </c>
      <c r="AJ43" s="29">
        <v>-3336</v>
      </c>
      <c r="AK43" s="29">
        <v>-4806</v>
      </c>
      <c r="AL43" s="29">
        <v>-20266</v>
      </c>
      <c r="AM43" s="29">
        <v>-1185</v>
      </c>
      <c r="AN43" s="29">
        <v>-5396</v>
      </c>
      <c r="AO43" s="2"/>
      <c r="AP43" s="2"/>
      <c r="AQ43" s="2"/>
      <c r="AR43" s="2"/>
      <c r="AS43" s="2"/>
      <c r="AT43" s="2"/>
      <c r="AU43" s="2"/>
      <c r="AV43" s="18">
        <f>SUMIFS($C43:$AD43,$C$7:$AD$7,AV$7)</f>
        <v>-7458</v>
      </c>
      <c r="AW43" s="18">
        <f>SUMIFS($C43:$AH43,$C$7:$AH$7,AW$7)</f>
        <v>-12258</v>
      </c>
      <c r="AX43" s="18">
        <f>SUMIFS($C43:$AL43,$C$7:$AL$7,AX$7)</f>
        <v>-30896</v>
      </c>
      <c r="AY43" s="2"/>
      <c r="AZ43" s="18">
        <f t="shared" si="26"/>
        <v>-11582</v>
      </c>
      <c r="BA43" s="18">
        <f t="shared" si="26"/>
        <v>-29593</v>
      </c>
    </row>
    <row r="44" spans="1:53" ht="12.9" x14ac:dyDescent="0.5">
      <c r="A44" s="2" t="s">
        <v>119</v>
      </c>
      <c r="B44" s="2"/>
      <c r="C44" s="20">
        <f t="shared" ref="C44:AM44" si="27">C42-C43</f>
        <v>-47978</v>
      </c>
      <c r="D44" s="20">
        <f t="shared" si="27"/>
        <v>-29620</v>
      </c>
      <c r="E44" s="20">
        <f t="shared" si="27"/>
        <v>-53930</v>
      </c>
      <c r="F44" s="20">
        <f t="shared" si="27"/>
        <v>-48289</v>
      </c>
      <c r="G44" s="20">
        <f t="shared" si="27"/>
        <v>-96755</v>
      </c>
      <c r="H44" s="20">
        <f t="shared" si="27"/>
        <v>-27345</v>
      </c>
      <c r="I44" s="20">
        <f t="shared" si="27"/>
        <v>-32323</v>
      </c>
      <c r="J44" s="20">
        <f t="shared" si="27"/>
        <v>-15167</v>
      </c>
      <c r="K44" s="20">
        <f t="shared" si="27"/>
        <v>-15090</v>
      </c>
      <c r="L44" s="20">
        <f t="shared" si="27"/>
        <v>-15962</v>
      </c>
      <c r="M44" s="20">
        <f t="shared" si="27"/>
        <v>-16098</v>
      </c>
      <c r="N44" s="20">
        <f t="shared" si="27"/>
        <v>-15663</v>
      </c>
      <c r="O44" s="20">
        <f t="shared" si="27"/>
        <v>-23986</v>
      </c>
      <c r="P44" s="20">
        <f t="shared" si="27"/>
        <v>-5906</v>
      </c>
      <c r="Q44" s="20">
        <f t="shared" si="27"/>
        <v>19643</v>
      </c>
      <c r="R44" s="20">
        <f t="shared" si="27"/>
        <v>-28204</v>
      </c>
      <c r="S44" s="20">
        <f t="shared" si="27"/>
        <v>-38151</v>
      </c>
      <c r="T44" s="20">
        <f t="shared" si="27"/>
        <v>-6740</v>
      </c>
      <c r="U44" s="20">
        <f t="shared" si="27"/>
        <v>29397</v>
      </c>
      <c r="V44" s="20">
        <f t="shared" si="27"/>
        <v>390940</v>
      </c>
      <c r="W44" s="20">
        <f t="shared" si="27"/>
        <v>-105891</v>
      </c>
      <c r="X44" s="20">
        <f t="shared" si="27"/>
        <v>-11478</v>
      </c>
      <c r="Y44" s="20">
        <f t="shared" si="27"/>
        <v>36515</v>
      </c>
      <c r="Z44" s="20">
        <f t="shared" si="27"/>
        <v>293959</v>
      </c>
      <c r="AA44" s="20">
        <f t="shared" si="27"/>
        <v>39006</v>
      </c>
      <c r="AB44" s="20">
        <f t="shared" si="27"/>
        <v>204023</v>
      </c>
      <c r="AC44" s="20">
        <f t="shared" si="27"/>
        <v>84</v>
      </c>
      <c r="AD44" s="20">
        <f t="shared" si="27"/>
        <v>-76831</v>
      </c>
      <c r="AE44" s="20">
        <f t="shared" si="27"/>
        <v>-204199</v>
      </c>
      <c r="AF44" s="20">
        <f t="shared" si="27"/>
        <v>-208014</v>
      </c>
      <c r="AG44" s="20">
        <f t="shared" si="27"/>
        <v>-14711</v>
      </c>
      <c r="AH44" s="20">
        <f t="shared" si="27"/>
        <v>-113823</v>
      </c>
      <c r="AI44" s="20">
        <f t="shared" si="27"/>
        <v>-16838</v>
      </c>
      <c r="AJ44" s="20">
        <f t="shared" si="27"/>
        <v>-122506</v>
      </c>
      <c r="AK44" s="20">
        <f t="shared" si="27"/>
        <v>-28954</v>
      </c>
      <c r="AL44" s="20">
        <f t="shared" si="27"/>
        <v>178070</v>
      </c>
      <c r="AM44" s="20">
        <f t="shared" si="27"/>
        <v>472005</v>
      </c>
      <c r="AN44" s="20">
        <v>195268</v>
      </c>
      <c r="AO44" s="2"/>
      <c r="AP44" s="20">
        <f t="shared" ref="AP44:AV44" si="28">AP42-AP43</f>
        <v>-179817</v>
      </c>
      <c r="AQ44" s="20">
        <f t="shared" si="28"/>
        <v>-171590</v>
      </c>
      <c r="AR44" s="20">
        <f t="shared" si="28"/>
        <v>-62813</v>
      </c>
      <c r="AS44" s="20">
        <f t="shared" si="28"/>
        <v>-38453</v>
      </c>
      <c r="AT44" s="20">
        <f t="shared" si="28"/>
        <v>375446</v>
      </c>
      <c r="AU44" s="20">
        <f t="shared" si="28"/>
        <v>213105</v>
      </c>
      <c r="AV44" s="20">
        <f t="shared" si="28"/>
        <v>166283</v>
      </c>
      <c r="AW44" s="20">
        <f>SUMIFS($C44:$AH44,$C$7:$AH$7,AW$7)</f>
        <v>-540747</v>
      </c>
      <c r="AX44" s="20">
        <f>SUMIFS($C44:$AL44,$C$7:$AL$7,AX$7)</f>
        <v>9772</v>
      </c>
      <c r="AY44" s="2"/>
      <c r="AZ44" s="20">
        <f t="shared" si="26"/>
        <v>-353386</v>
      </c>
      <c r="BA44" s="20">
        <f t="shared" si="26"/>
        <v>498615</v>
      </c>
    </row>
    <row r="45" spans="1:53" ht="12.9" x14ac:dyDescent="0.5">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9"/>
      <c r="AG45" s="29"/>
      <c r="AH45" s="29"/>
      <c r="AI45" s="29"/>
      <c r="AJ45" s="29"/>
      <c r="AK45" s="29"/>
      <c r="AL45" s="29"/>
      <c r="AM45" s="29"/>
      <c r="AN45" s="29"/>
      <c r="AO45" s="2"/>
      <c r="AP45" s="2"/>
      <c r="AQ45" s="2"/>
      <c r="AR45" s="2"/>
      <c r="AS45" s="2"/>
      <c r="AT45" s="2"/>
      <c r="AU45" s="2"/>
      <c r="AV45" s="2"/>
      <c r="AW45" s="2"/>
      <c r="AX45" s="2"/>
      <c r="AY45" s="2"/>
      <c r="AZ45" s="2"/>
      <c r="BA45" s="2"/>
    </row>
    <row r="46" spans="1:53" ht="12.9" x14ac:dyDescent="0.5">
      <c r="A46" s="7" t="s">
        <v>120</v>
      </c>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0"/>
      <c r="AG46" s="20"/>
      <c r="AH46" s="20"/>
      <c r="AI46" s="20"/>
      <c r="AJ46" s="20"/>
      <c r="AK46" s="20"/>
      <c r="AL46" s="20"/>
      <c r="AM46" s="20"/>
      <c r="AN46" s="20"/>
      <c r="AO46" s="2"/>
      <c r="AP46" s="2"/>
      <c r="AQ46" s="2"/>
      <c r="AR46" s="2"/>
      <c r="AS46" s="2"/>
      <c r="AT46" s="2"/>
      <c r="AU46" s="2"/>
      <c r="AV46" s="2"/>
      <c r="AW46" s="2"/>
      <c r="AX46" s="2"/>
      <c r="AY46" s="2"/>
      <c r="AZ46" s="2"/>
      <c r="BA46" s="2"/>
    </row>
    <row r="47" spans="1:53" ht="12.9" x14ac:dyDescent="0.5">
      <c r="A47" s="2" t="s">
        <v>121</v>
      </c>
      <c r="B47" s="2"/>
      <c r="C47" s="53">
        <v>-0.33</v>
      </c>
      <c r="D47" s="53">
        <v>-0.2</v>
      </c>
      <c r="E47" s="53">
        <v>-0.35</v>
      </c>
      <c r="F47" s="53">
        <v>-0.34</v>
      </c>
      <c r="G47" s="53">
        <v>-0.28999999999999998</v>
      </c>
      <c r="H47" s="53">
        <v>-0.08</v>
      </c>
      <c r="I47" s="53">
        <v>-0.09</v>
      </c>
      <c r="J47" s="53">
        <v>-0.04</v>
      </c>
      <c r="K47" s="53">
        <v>-0.04</v>
      </c>
      <c r="L47" s="53">
        <v>-0.04</v>
      </c>
      <c r="M47" s="53">
        <v>-0.04</v>
      </c>
      <c r="N47" s="53">
        <v>-0.04</v>
      </c>
      <c r="O47" s="53">
        <v>-0.06</v>
      </c>
      <c r="P47" s="53">
        <v>-0.01</v>
      </c>
      <c r="Q47" s="53">
        <v>0.05</v>
      </c>
      <c r="R47" s="53">
        <v>-7.0000000000000007E-2</v>
      </c>
      <c r="S47" s="53">
        <v>-0.09</v>
      </c>
      <c r="T47" s="53">
        <v>-0.02</v>
      </c>
      <c r="U47" s="53">
        <v>7.0000000000000007E-2</v>
      </c>
      <c r="V47" s="53">
        <v>0.91</v>
      </c>
      <c r="W47" s="53">
        <v>-0.24</v>
      </c>
      <c r="X47" s="53">
        <v>-0.03</v>
      </c>
      <c r="Y47" s="53">
        <v>0.08</v>
      </c>
      <c r="Z47" s="53">
        <v>0.65</v>
      </c>
      <c r="AA47" s="53">
        <v>0.09</v>
      </c>
      <c r="AB47" s="53">
        <v>0.45</v>
      </c>
      <c r="AC47" s="53">
        <v>0</v>
      </c>
      <c r="AD47" s="53">
        <v>-0.166094491116866</v>
      </c>
      <c r="AE47" s="53">
        <v>-0.38</v>
      </c>
      <c r="AF47" s="53">
        <v>-0.36</v>
      </c>
      <c r="AG47" s="53">
        <v>-0.02</v>
      </c>
      <c r="AH47" s="53">
        <v>-0.19</v>
      </c>
      <c r="AI47" s="53">
        <v>-0.03</v>
      </c>
      <c r="AJ47" s="53">
        <v>-0.2</v>
      </c>
      <c r="AK47" s="53">
        <v>-0.05</v>
      </c>
      <c r="AL47" s="53">
        <v>0.28999999999999998</v>
      </c>
      <c r="AM47" s="53">
        <v>0.77</v>
      </c>
      <c r="AN47" s="53">
        <v>0.32</v>
      </c>
      <c r="AO47" s="2"/>
      <c r="AP47" s="54">
        <v>-1.23</v>
      </c>
      <c r="AQ47" s="54">
        <v>-0.5</v>
      </c>
      <c r="AR47" s="54">
        <v>-0.17</v>
      </c>
      <c r="AS47" s="54">
        <v>-0.09</v>
      </c>
      <c r="AT47" s="54">
        <v>0.88</v>
      </c>
      <c r="AU47" s="54">
        <v>0.48</v>
      </c>
      <c r="AV47" s="54">
        <v>0.36272337009632799</v>
      </c>
      <c r="AW47" s="54">
        <v>-0.93</v>
      </c>
      <c r="AX47" s="54">
        <v>1.6049772031482001E-2</v>
      </c>
      <c r="AY47" s="2"/>
      <c r="AZ47" s="54"/>
      <c r="BA47" s="54"/>
    </row>
    <row r="48" spans="1:53" ht="12.9" x14ac:dyDescent="0.5">
      <c r="A48" s="2" t="s">
        <v>122</v>
      </c>
      <c r="B48" s="2"/>
      <c r="C48" s="53">
        <v>-0.33</v>
      </c>
      <c r="D48" s="53">
        <v>-0.2</v>
      </c>
      <c r="E48" s="53">
        <v>-0.35</v>
      </c>
      <c r="F48" s="53">
        <v>-0.34</v>
      </c>
      <c r="G48" s="53">
        <v>-0.28999999999999998</v>
      </c>
      <c r="H48" s="53">
        <v>-0.08</v>
      </c>
      <c r="I48" s="53">
        <v>-0.09</v>
      </c>
      <c r="J48" s="53">
        <v>-0.04</v>
      </c>
      <c r="K48" s="53">
        <v>-0.04</v>
      </c>
      <c r="L48" s="53">
        <v>-0.04</v>
      </c>
      <c r="M48" s="53">
        <v>-0.04</v>
      </c>
      <c r="N48" s="53">
        <v>-0.04</v>
      </c>
      <c r="O48" s="53">
        <v>-0.06</v>
      </c>
      <c r="P48" s="53">
        <v>-0.01</v>
      </c>
      <c r="Q48" s="53">
        <v>0.04</v>
      </c>
      <c r="R48" s="53">
        <v>-7.0000000000000007E-2</v>
      </c>
      <c r="S48" s="53">
        <v>-0.09</v>
      </c>
      <c r="T48" s="53">
        <v>-0.02</v>
      </c>
      <c r="U48" s="53">
        <v>0.06</v>
      </c>
      <c r="V48" s="53">
        <v>0.83</v>
      </c>
      <c r="W48" s="53">
        <v>-0.24</v>
      </c>
      <c r="X48" s="53">
        <v>-0.03</v>
      </c>
      <c r="Y48" s="53">
        <v>7.0000000000000007E-2</v>
      </c>
      <c r="Z48" s="53">
        <v>0.59</v>
      </c>
      <c r="AA48" s="53">
        <v>0.08</v>
      </c>
      <c r="AB48" s="53">
        <v>0.4</v>
      </c>
      <c r="AC48" s="53">
        <v>0</v>
      </c>
      <c r="AD48" s="53">
        <v>-0.166094491116866</v>
      </c>
      <c r="AE48" s="53">
        <v>-0.38</v>
      </c>
      <c r="AF48" s="53">
        <v>-0.36</v>
      </c>
      <c r="AG48" s="53">
        <v>-0.02</v>
      </c>
      <c r="AH48" s="53">
        <v>-0.19</v>
      </c>
      <c r="AI48" s="53">
        <v>-0.03</v>
      </c>
      <c r="AJ48" s="53">
        <v>-0.2</v>
      </c>
      <c r="AK48" s="53">
        <v>-0.05</v>
      </c>
      <c r="AL48" s="53">
        <v>0.28000000000000003</v>
      </c>
      <c r="AM48" s="53">
        <v>0.74</v>
      </c>
      <c r="AN48" s="53">
        <v>0.31</v>
      </c>
      <c r="AO48" s="2"/>
      <c r="AP48" s="54">
        <v>-1.23</v>
      </c>
      <c r="AQ48" s="54">
        <v>-0.5</v>
      </c>
      <c r="AR48" s="54">
        <v>-0.17</v>
      </c>
      <c r="AS48" s="54">
        <v>-0.09</v>
      </c>
      <c r="AT48" s="54">
        <v>0.81</v>
      </c>
      <c r="AU48" s="54">
        <v>0.44</v>
      </c>
      <c r="AV48" s="54">
        <v>0.33</v>
      </c>
      <c r="AW48" s="54">
        <v>-0.93</v>
      </c>
      <c r="AX48" s="54">
        <v>0.02</v>
      </c>
      <c r="AY48" s="2"/>
      <c r="AZ48" s="54"/>
      <c r="BA48" s="54"/>
    </row>
    <row r="49" spans="1:53" ht="12.9" x14ac:dyDescent="0.5">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row>
    <row r="50" spans="1:53" ht="12.9" x14ac:dyDescent="0.5">
      <c r="A50" s="7" t="s">
        <v>123</v>
      </c>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row>
    <row r="51" spans="1:53" ht="12.9" x14ac:dyDescent="0.5">
      <c r="A51" s="2" t="s">
        <v>121</v>
      </c>
      <c r="B51" s="2"/>
      <c r="C51" s="16">
        <v>145069</v>
      </c>
      <c r="D51" s="16">
        <v>149253</v>
      </c>
      <c r="E51" s="16">
        <v>152334</v>
      </c>
      <c r="F51" s="16">
        <v>234548</v>
      </c>
      <c r="G51" s="16">
        <v>331324</v>
      </c>
      <c r="H51" s="16">
        <v>334488</v>
      </c>
      <c r="I51" s="16">
        <v>343893</v>
      </c>
      <c r="J51" s="16">
        <v>356343</v>
      </c>
      <c r="K51" s="16">
        <v>366737</v>
      </c>
      <c r="L51" s="16">
        <v>376357</v>
      </c>
      <c r="M51" s="16">
        <v>383951</v>
      </c>
      <c r="N51" s="16">
        <v>390030</v>
      </c>
      <c r="O51" s="16">
        <v>395948</v>
      </c>
      <c r="P51" s="16">
        <v>403301</v>
      </c>
      <c r="Q51" s="16">
        <v>409690</v>
      </c>
      <c r="R51" s="16">
        <v>413984</v>
      </c>
      <c r="S51" s="16">
        <v>419289</v>
      </c>
      <c r="T51" s="16">
        <v>423305</v>
      </c>
      <c r="U51" s="16">
        <v>427124</v>
      </c>
      <c r="V51" s="16">
        <v>430136</v>
      </c>
      <c r="W51" s="16">
        <v>434940</v>
      </c>
      <c r="X51" s="16">
        <v>440117</v>
      </c>
      <c r="Y51" s="16">
        <v>444458</v>
      </c>
      <c r="Z51" s="16">
        <v>452869</v>
      </c>
      <c r="AA51" s="16">
        <v>454973</v>
      </c>
      <c r="AB51" s="16">
        <v>455431</v>
      </c>
      <c r="AC51" s="16">
        <v>460654</v>
      </c>
      <c r="AD51" s="16">
        <v>462562</v>
      </c>
      <c r="AE51" s="16">
        <v>541435</v>
      </c>
      <c r="AF51" s="16">
        <v>581350</v>
      </c>
      <c r="AG51" s="16">
        <v>592672</v>
      </c>
      <c r="AH51" s="16">
        <v>598875</v>
      </c>
      <c r="AI51" s="16">
        <v>602234</v>
      </c>
      <c r="AJ51" s="16">
        <v>606692</v>
      </c>
      <c r="AK51" s="16">
        <v>611276</v>
      </c>
      <c r="AL51" s="16">
        <f>615053</f>
        <v>615053</v>
      </c>
      <c r="AM51" s="16">
        <v>616401</v>
      </c>
      <c r="AN51" s="16">
        <v>617666</v>
      </c>
      <c r="AO51" s="2"/>
      <c r="AP51" s="16">
        <v>170498</v>
      </c>
      <c r="AQ51" s="16">
        <v>341555</v>
      </c>
      <c r="AR51" s="16">
        <v>379344</v>
      </c>
      <c r="AS51" s="16">
        <v>405731</v>
      </c>
      <c r="AT51" s="16">
        <v>424999</v>
      </c>
      <c r="AU51" s="16">
        <v>443126</v>
      </c>
      <c r="AV51" s="16">
        <v>458432</v>
      </c>
      <c r="AW51" s="16">
        <v>578949</v>
      </c>
      <c r="AX51" s="16">
        <f>608856000/1000</f>
        <v>608856</v>
      </c>
      <c r="AY51" s="2"/>
      <c r="AZ51" s="2"/>
      <c r="BA51" s="2"/>
    </row>
    <row r="52" spans="1:53" ht="12.9" x14ac:dyDescent="0.5">
      <c r="A52" s="2" t="s">
        <v>122</v>
      </c>
      <c r="B52" s="2"/>
      <c r="C52" s="16">
        <v>145069</v>
      </c>
      <c r="D52" s="16">
        <v>149253</v>
      </c>
      <c r="E52" s="16">
        <v>152334</v>
      </c>
      <c r="F52" s="16">
        <v>234548</v>
      </c>
      <c r="G52" s="16">
        <v>331324</v>
      </c>
      <c r="H52" s="16">
        <v>334488</v>
      </c>
      <c r="I52" s="16">
        <v>343893</v>
      </c>
      <c r="J52" s="16">
        <v>356343</v>
      </c>
      <c r="K52" s="16">
        <v>366737</v>
      </c>
      <c r="L52" s="16">
        <v>376357</v>
      </c>
      <c r="M52" s="16">
        <v>383951</v>
      </c>
      <c r="N52" s="16">
        <v>390030</v>
      </c>
      <c r="O52" s="16">
        <v>395948</v>
      </c>
      <c r="P52" s="16">
        <v>403301</v>
      </c>
      <c r="Q52" s="16">
        <v>474915</v>
      </c>
      <c r="R52" s="16">
        <v>413984</v>
      </c>
      <c r="S52" s="16">
        <v>419289</v>
      </c>
      <c r="T52" s="16">
        <v>423305</v>
      </c>
      <c r="U52" s="16">
        <v>466099</v>
      </c>
      <c r="V52" s="16">
        <v>485394</v>
      </c>
      <c r="W52" s="16">
        <v>434940</v>
      </c>
      <c r="X52" s="16">
        <v>440117</v>
      </c>
      <c r="Y52" s="16">
        <v>488069</v>
      </c>
      <c r="Z52" s="16">
        <v>502237</v>
      </c>
      <c r="AA52" s="16">
        <v>501353</v>
      </c>
      <c r="AB52" s="16">
        <v>522578</v>
      </c>
      <c r="AC52" s="16">
        <v>504120</v>
      </c>
      <c r="AD52" s="16">
        <v>462562</v>
      </c>
      <c r="AE52" s="16">
        <v>541435</v>
      </c>
      <c r="AF52" s="16">
        <v>581350</v>
      </c>
      <c r="AG52" s="16">
        <v>592672</v>
      </c>
      <c r="AH52" s="16">
        <v>598875</v>
      </c>
      <c r="AI52" s="16">
        <v>602234</v>
      </c>
      <c r="AJ52" s="16">
        <v>606692</v>
      </c>
      <c r="AK52" s="16">
        <v>611276</v>
      </c>
      <c r="AL52" s="16">
        <f>629126</f>
        <v>629126</v>
      </c>
      <c r="AM52" s="16">
        <v>637360</v>
      </c>
      <c r="AN52" s="16">
        <v>634221</v>
      </c>
      <c r="AO52" s="2"/>
      <c r="AP52" s="16">
        <v>170498</v>
      </c>
      <c r="AQ52" s="16">
        <v>341555</v>
      </c>
      <c r="AR52" s="16">
        <v>379344</v>
      </c>
      <c r="AS52" s="16">
        <v>405731</v>
      </c>
      <c r="AT52" s="16">
        <v>466076</v>
      </c>
      <c r="AU52" s="16">
        <v>482167</v>
      </c>
      <c r="AV52" s="16">
        <v>525725</v>
      </c>
      <c r="AW52" s="16">
        <v>578949</v>
      </c>
      <c r="AX52" s="16">
        <f>614024000/1000</f>
        <v>614024</v>
      </c>
      <c r="AY52" s="2"/>
      <c r="AZ52" s="2"/>
      <c r="BA52" s="2"/>
    </row>
    <row r="53" spans="1:53" ht="12.9" x14ac:dyDescent="0.5">
      <c r="A53" s="2"/>
      <c r="B53" s="2"/>
      <c r="C53" s="28"/>
      <c r="D53" s="28"/>
      <c r="E53" s="28"/>
      <c r="F53" s="28"/>
      <c r="G53" s="28"/>
      <c r="H53" s="28"/>
      <c r="I53" s="28"/>
      <c r="J53" s="28"/>
      <c r="K53" s="28"/>
      <c r="L53" s="28"/>
      <c r="M53" s="28"/>
      <c r="N53" s="28"/>
      <c r="O53" s="28"/>
      <c r="P53" s="28"/>
      <c r="Q53" s="28"/>
      <c r="R53" s="28"/>
      <c r="S53" s="28"/>
      <c r="T53" s="28"/>
      <c r="U53" s="2"/>
      <c r="V53" s="2"/>
      <c r="W53" s="2"/>
      <c r="X53" s="2"/>
      <c r="Y53" s="2"/>
      <c r="Z53" s="2"/>
      <c r="AA53" s="2"/>
      <c r="AB53" s="2"/>
      <c r="AC53" s="2"/>
      <c r="AD53" s="2"/>
      <c r="AE53" s="2"/>
      <c r="AF53" s="16"/>
      <c r="AG53" s="16"/>
      <c r="AH53" s="16"/>
      <c r="AI53" s="16"/>
      <c r="AJ53" s="16"/>
      <c r="AK53" s="16"/>
      <c r="AL53" s="16"/>
      <c r="AM53" s="16"/>
      <c r="AN53" s="16"/>
      <c r="AO53" s="2"/>
      <c r="AP53" s="28"/>
      <c r="AQ53" s="28"/>
      <c r="AR53" s="28"/>
      <c r="AS53" s="28"/>
      <c r="AT53" s="28"/>
      <c r="AU53" s="28"/>
      <c r="AV53" s="28"/>
      <c r="AW53" s="28"/>
      <c r="AX53" s="28"/>
      <c r="AY53" s="2"/>
      <c r="AZ53" s="2"/>
      <c r="BA53" s="2"/>
    </row>
    <row r="54" spans="1:53" ht="12.9" x14ac:dyDescent="0.5">
      <c r="A54" s="7" t="s">
        <v>78</v>
      </c>
      <c r="B54" s="2"/>
      <c r="C54" s="16"/>
      <c r="D54" s="16"/>
      <c r="E54" s="16"/>
      <c r="F54" s="16"/>
      <c r="G54" s="16"/>
      <c r="H54" s="16"/>
      <c r="I54" s="16"/>
      <c r="J54" s="16"/>
      <c r="K54" s="16"/>
      <c r="L54" s="16"/>
      <c r="M54" s="16"/>
      <c r="N54" s="16"/>
      <c r="O54" s="16"/>
      <c r="P54" s="16"/>
      <c r="Q54" s="16"/>
      <c r="R54" s="16"/>
      <c r="S54" s="16"/>
      <c r="T54" s="16"/>
      <c r="U54" s="17"/>
      <c r="V54" s="17"/>
      <c r="W54" s="17"/>
      <c r="X54" s="17"/>
      <c r="Y54" s="17"/>
      <c r="Z54" s="17"/>
      <c r="AA54" s="17"/>
      <c r="AB54" s="17"/>
      <c r="AC54" s="17"/>
      <c r="AD54" s="17"/>
      <c r="AE54" s="17"/>
      <c r="AF54" s="16"/>
      <c r="AG54" s="16"/>
      <c r="AH54" s="16"/>
      <c r="AI54" s="16"/>
      <c r="AJ54" s="16"/>
      <c r="AK54" s="16"/>
      <c r="AL54" s="16"/>
      <c r="AM54" s="16"/>
      <c r="AN54" s="16"/>
      <c r="AO54" s="2"/>
      <c r="AP54" s="16"/>
      <c r="AQ54" s="16"/>
      <c r="AR54" s="16"/>
      <c r="AS54" s="16"/>
      <c r="AT54" s="16"/>
      <c r="AU54" s="16"/>
      <c r="AV54" s="16"/>
      <c r="AW54" s="16"/>
      <c r="AX54" s="16"/>
      <c r="AY54" s="2"/>
      <c r="AZ54" s="2"/>
      <c r="BA54" s="2"/>
    </row>
    <row r="55" spans="1:53" ht="12.9" x14ac:dyDescent="0.5">
      <c r="A55" s="56" t="s">
        <v>124</v>
      </c>
      <c r="B55" s="2"/>
      <c r="C55" s="16"/>
      <c r="D55" s="16"/>
      <c r="E55" s="16"/>
      <c r="F55" s="16"/>
      <c r="G55" s="77">
        <f t="shared" ref="G55:AM55" si="29">G9/C9-1</f>
        <v>0.42320591161006105</v>
      </c>
      <c r="H55" s="77">
        <f t="shared" si="29"/>
        <v>0.40405750700366339</v>
      </c>
      <c r="I55" s="77">
        <f t="shared" si="29"/>
        <v>0.38223914861810604</v>
      </c>
      <c r="J55" s="77">
        <f t="shared" si="29"/>
        <v>0.34832303796111441</v>
      </c>
      <c r="K55" s="77">
        <f t="shared" si="29"/>
        <v>0.34289888934375767</v>
      </c>
      <c r="L55" s="77">
        <f t="shared" si="29"/>
        <v>0.32121831696193648</v>
      </c>
      <c r="M55" s="77">
        <f t="shared" si="29"/>
        <v>0.31330742866560057</v>
      </c>
      <c r="N55" s="77">
        <f t="shared" si="29"/>
        <v>0.30339680394339319</v>
      </c>
      <c r="O55" s="77">
        <f t="shared" si="29"/>
        <v>0.29632098900063952</v>
      </c>
      <c r="P55" s="77">
        <f t="shared" si="29"/>
        <v>0.2969786232147118</v>
      </c>
      <c r="Q55" s="77">
        <f t="shared" si="29"/>
        <v>0.28501879341750014</v>
      </c>
      <c r="R55" s="77">
        <f t="shared" si="29"/>
        <v>0.2729445761820164</v>
      </c>
      <c r="S55" s="77">
        <f t="shared" si="29"/>
        <v>0.25567024894988299</v>
      </c>
      <c r="T55" s="77">
        <f t="shared" si="29"/>
        <v>0.24036351538958578</v>
      </c>
      <c r="U55" s="77">
        <f t="shared" si="29"/>
        <v>0.24602065354051983</v>
      </c>
      <c r="V55" s="77">
        <f t="shared" si="29"/>
        <v>0.2461478102790946</v>
      </c>
      <c r="W55" s="77">
        <f t="shared" si="29"/>
        <v>0.15430094920229864</v>
      </c>
      <c r="X55" s="77">
        <f t="shared" si="29"/>
        <v>-0.11984113680029918</v>
      </c>
      <c r="Y55" s="77">
        <f t="shared" si="29"/>
        <v>0.13307503349162775</v>
      </c>
      <c r="Z55" s="77">
        <f t="shared" si="29"/>
        <v>0.11635823980388849</v>
      </c>
      <c r="AA55" s="77">
        <f t="shared" si="29"/>
        <v>0.26596983779206207</v>
      </c>
      <c r="AB55" s="77">
        <f t="shared" si="29"/>
        <v>0.7983040616960555</v>
      </c>
      <c r="AC55" s="77">
        <f t="shared" si="29"/>
        <v>0.4017598730781784</v>
      </c>
      <c r="AD55" s="77">
        <f t="shared" si="29"/>
        <v>0.4089187318557046</v>
      </c>
      <c r="AE55" s="77">
        <f t="shared" si="29"/>
        <v>0.28470001552515134</v>
      </c>
      <c r="AF55" s="77">
        <f t="shared" si="29"/>
        <v>0.20223271895407802</v>
      </c>
      <c r="AG55" s="77">
        <f t="shared" si="29"/>
        <v>0.17027231234194784</v>
      </c>
      <c r="AH55" s="77">
        <f t="shared" si="29"/>
        <v>0.12687972581577989</v>
      </c>
      <c r="AI55" s="77">
        <f t="shared" si="29"/>
        <v>0.15388545859628255</v>
      </c>
      <c r="AJ55" s="77">
        <f t="shared" si="29"/>
        <v>0.10974197452475321</v>
      </c>
      <c r="AK55" s="77">
        <f t="shared" si="29"/>
        <v>9.2745851148633873E-2</v>
      </c>
      <c r="AL55" s="77">
        <f t="shared" si="29"/>
        <v>8.223873776758106E-2</v>
      </c>
      <c r="AM55" s="77">
        <f t="shared" si="29"/>
        <v>6.2208258212349099E-2</v>
      </c>
      <c r="AN55" s="77">
        <v>4.5988346744794795E-2</v>
      </c>
      <c r="AO55" s="30"/>
      <c r="AP55" s="78"/>
      <c r="AQ55" s="77">
        <f t="shared" ref="AQ55:AX55" si="30">AQ9/AP9-1</f>
        <v>0.38623154948617011</v>
      </c>
      <c r="AR55" s="77">
        <f t="shared" si="30"/>
        <v>0.31865591693220519</v>
      </c>
      <c r="AS55" s="77">
        <f t="shared" si="30"/>
        <v>0.28709741929637622</v>
      </c>
      <c r="AT55" s="77">
        <f t="shared" si="30"/>
        <v>0.2466660273661101</v>
      </c>
      <c r="AU55" s="77">
        <f t="shared" si="30"/>
        <v>6.9425142012168539E-2</v>
      </c>
      <c r="AV55" s="77">
        <f t="shared" si="30"/>
        <v>0.45468224674034241</v>
      </c>
      <c r="AW55" s="77">
        <f t="shared" si="30"/>
        <v>0.18951936786402923</v>
      </c>
      <c r="AX55" s="77">
        <f t="shared" si="30"/>
        <v>0.107648284498574</v>
      </c>
      <c r="AY55" s="30"/>
      <c r="AZ55" s="30"/>
      <c r="BA55" s="77">
        <f>BA9/AZ9-1</f>
        <v>8.6997961052919681E-2</v>
      </c>
    </row>
    <row r="56" spans="1:53" ht="12.9" x14ac:dyDescent="0.5">
      <c r="A56" s="56" t="s">
        <v>125</v>
      </c>
      <c r="B56" s="2"/>
      <c r="C56" s="16"/>
      <c r="D56" s="16"/>
      <c r="E56" s="16"/>
      <c r="F56" s="16"/>
      <c r="G56" s="77">
        <f t="shared" ref="G56:AM57" si="31">G11/C11-1</f>
        <v>1.9722707969023232</v>
      </c>
      <c r="H56" s="77">
        <f t="shared" si="31"/>
        <v>1.2986540841584158</v>
      </c>
      <c r="I56" s="77">
        <f t="shared" si="31"/>
        <v>1.4037021913706274</v>
      </c>
      <c r="J56" s="77">
        <f t="shared" si="31"/>
        <v>0.81005137368773728</v>
      </c>
      <c r="K56" s="77">
        <f t="shared" si="31"/>
        <v>1.0616910405110103</v>
      </c>
      <c r="L56" s="77">
        <f t="shared" si="31"/>
        <v>0.99047683144328169</v>
      </c>
      <c r="M56" s="77">
        <f t="shared" si="31"/>
        <v>0.8417610419026047</v>
      </c>
      <c r="N56" s="77">
        <f t="shared" si="31"/>
        <v>0.95967224443457222</v>
      </c>
      <c r="O56" s="77">
        <f t="shared" si="31"/>
        <v>0.97827150428047283</v>
      </c>
      <c r="P56" s="77">
        <f t="shared" si="31"/>
        <v>1.2710013355649101</v>
      </c>
      <c r="Q56" s="77">
        <f t="shared" si="31"/>
        <v>1.5549645662633935</v>
      </c>
      <c r="R56" s="77">
        <f t="shared" si="31"/>
        <v>1.4447369083902171</v>
      </c>
      <c r="S56" s="77">
        <f t="shared" si="31"/>
        <v>1.2550023698147421</v>
      </c>
      <c r="T56" s="77">
        <f t="shared" si="31"/>
        <v>0.87135604323616112</v>
      </c>
      <c r="U56" s="77">
        <f t="shared" si="31"/>
        <v>0.68348946769913899</v>
      </c>
      <c r="V56" s="77">
        <f t="shared" si="31"/>
        <v>0.44971846875853227</v>
      </c>
      <c r="W56" s="77">
        <f t="shared" si="31"/>
        <v>0.35355506106727219</v>
      </c>
      <c r="X56" s="77">
        <f t="shared" si="31"/>
        <v>0.3774797818468234</v>
      </c>
      <c r="Y56" s="77">
        <f t="shared" si="31"/>
        <v>0.59942959460473699</v>
      </c>
      <c r="Z56" s="77">
        <f t="shared" si="31"/>
        <v>0.5968267505285787</v>
      </c>
      <c r="AA56" s="77">
        <f t="shared" si="31"/>
        <v>0.88256283018549464</v>
      </c>
      <c r="AB56" s="77">
        <f t="shared" si="31"/>
        <v>0.97871056241426602</v>
      </c>
      <c r="AC56" s="77">
        <f t="shared" si="31"/>
        <v>0.55248233606392527</v>
      </c>
      <c r="AD56" s="77">
        <f t="shared" si="31"/>
        <v>0.71818386144188207</v>
      </c>
      <c r="AE56" s="77">
        <f t="shared" si="31"/>
        <v>0.72061985256804517</v>
      </c>
      <c r="AF56" s="77">
        <f t="shared" si="31"/>
        <v>0.59791470245687983</v>
      </c>
      <c r="AG56" s="77">
        <f t="shared" si="31"/>
        <v>0.71497186119147349</v>
      </c>
      <c r="AH56" s="77">
        <f t="shared" si="31"/>
        <v>0.69258595366933395</v>
      </c>
      <c r="AI56" s="77">
        <f t="shared" si="31"/>
        <v>0.42380702761795286</v>
      </c>
      <c r="AJ56" s="77">
        <f t="shared" si="31"/>
        <v>0.3348760019582484</v>
      </c>
      <c r="AK56" s="77">
        <f t="shared" si="31"/>
        <v>0.25294688844668656</v>
      </c>
      <c r="AL56" s="77">
        <f t="shared" si="31"/>
        <v>0.24285284680938646</v>
      </c>
      <c r="AM56" s="77">
        <f t="shared" si="31"/>
        <v>0.2313456651325112</v>
      </c>
      <c r="AN56" s="77">
        <v>0.22332991446441564</v>
      </c>
      <c r="AO56" s="30"/>
      <c r="AP56" s="78"/>
      <c r="AQ56" s="77">
        <f t="shared" ref="AQ56:AX57" si="32">AQ11/AP11-1</f>
        <v>1.2296898970920309</v>
      </c>
      <c r="AR56" s="77">
        <f t="shared" si="32"/>
        <v>0.95332080927089846</v>
      </c>
      <c r="AS56" s="77">
        <f t="shared" si="32"/>
        <v>1.3418690434727543</v>
      </c>
      <c r="AT56" s="77">
        <f t="shared" si="32"/>
        <v>0.74319003018390895</v>
      </c>
      <c r="AU56" s="77">
        <f t="shared" si="32"/>
        <v>0.49245629479105268</v>
      </c>
      <c r="AV56" s="77">
        <f t="shared" si="32"/>
        <v>0.76024796625704893</v>
      </c>
      <c r="AW56" s="77">
        <f t="shared" si="32"/>
        <v>0.68015681261350291</v>
      </c>
      <c r="AX56" s="77">
        <f t="shared" si="32"/>
        <v>0.30576288341193369</v>
      </c>
      <c r="AY56" s="30"/>
      <c r="AZ56" s="30"/>
      <c r="BA56" s="77">
        <f>BA11/AZ11-1</f>
        <v>0.26242317681028493</v>
      </c>
    </row>
    <row r="57" spans="1:53" ht="12.9" x14ac:dyDescent="0.5">
      <c r="A57" s="56" t="s">
        <v>126</v>
      </c>
      <c r="B57" s="2"/>
      <c r="C57" s="16"/>
      <c r="D57" s="16"/>
      <c r="E57" s="16"/>
      <c r="F57" s="16"/>
      <c r="G57" s="77">
        <f t="shared" si="31"/>
        <v>6.3421052631578947</v>
      </c>
      <c r="H57" s="77">
        <f t="shared" si="31"/>
        <v>2.0868838763575606</v>
      </c>
      <c r="I57" s="77">
        <f t="shared" si="31"/>
        <v>0.94223912526741138</v>
      </c>
      <c r="J57" s="77">
        <f t="shared" si="31"/>
        <v>0.39121568627450976</v>
      </c>
      <c r="K57" s="77">
        <f t="shared" si="31"/>
        <v>-0.44283772092448404</v>
      </c>
      <c r="L57" s="77">
        <f t="shared" si="31"/>
        <v>-7.1808750563824963E-2</v>
      </c>
      <c r="M57" s="77">
        <f t="shared" si="31"/>
        <v>0.23473259087015053</v>
      </c>
      <c r="N57" s="77">
        <f t="shared" si="31"/>
        <v>0.35539519675273423</v>
      </c>
      <c r="O57" s="77">
        <f t="shared" si="31"/>
        <v>0.59904614019520852</v>
      </c>
      <c r="P57" s="77">
        <f t="shared" si="31"/>
        <v>0.78462435610846537</v>
      </c>
      <c r="Q57" s="77">
        <f t="shared" si="31"/>
        <v>0.74031123005253252</v>
      </c>
      <c r="R57" s="77">
        <f t="shared" si="31"/>
        <v>0.51118875301555611</v>
      </c>
      <c r="S57" s="77">
        <f t="shared" si="31"/>
        <v>0.26323090795588544</v>
      </c>
      <c r="T57" s="77">
        <f t="shared" si="31"/>
        <v>0.21228624332861346</v>
      </c>
      <c r="U57" s="77">
        <f t="shared" si="31"/>
        <v>0.23966283175760328</v>
      </c>
      <c r="V57" s="77">
        <f t="shared" si="31"/>
        <v>0.22575140372123759</v>
      </c>
      <c r="W57" s="77">
        <f t="shared" si="31"/>
        <v>0.13524050076872385</v>
      </c>
      <c r="X57" s="77">
        <f t="shared" si="31"/>
        <v>-0.13198562443845463</v>
      </c>
      <c r="Y57" s="77">
        <f t="shared" si="31"/>
        <v>0.25397408802719834</v>
      </c>
      <c r="Z57" s="77">
        <f t="shared" si="31"/>
        <v>9.4130327390308466E-2</v>
      </c>
      <c r="AA57" s="77">
        <f t="shared" si="31"/>
        <v>0.39240628778718256</v>
      </c>
      <c r="AB57" s="77">
        <f t="shared" si="31"/>
        <v>1.2630162509057032</v>
      </c>
      <c r="AC57" s="77">
        <f t="shared" si="31"/>
        <v>0.36495200410346595</v>
      </c>
      <c r="AD57" s="77">
        <f t="shared" si="31"/>
        <v>0.47395640930919836</v>
      </c>
      <c r="AE57" s="77">
        <f t="shared" si="31"/>
        <v>0.29658190912880378</v>
      </c>
      <c r="AF57" s="77">
        <f t="shared" si="31"/>
        <v>9.8911402826693529E-2</v>
      </c>
      <c r="AG57" s="77">
        <f t="shared" si="31"/>
        <v>0.16462219836263592</v>
      </c>
      <c r="AH57" s="77">
        <f t="shared" si="31"/>
        <v>-7.1567808409913614E-3</v>
      </c>
      <c r="AI57" s="77">
        <f t="shared" si="31"/>
        <v>3.3488720998766652E-3</v>
      </c>
      <c r="AJ57" s="77">
        <f t="shared" si="31"/>
        <v>-6.5118311793719186E-2</v>
      </c>
      <c r="AK57" s="77">
        <f t="shared" si="31"/>
        <v>-2.4131096155619036E-2</v>
      </c>
      <c r="AL57" s="77">
        <f t="shared" si="31"/>
        <v>-8.9445488458194222E-2</v>
      </c>
      <c r="AM57" s="77">
        <f t="shared" si="31"/>
        <v>-0.13217270566874051</v>
      </c>
      <c r="AN57" s="77">
        <v>-4.3675704554561268E-2</v>
      </c>
      <c r="AO57" s="30"/>
      <c r="AP57" s="78"/>
      <c r="AQ57" s="77">
        <f t="shared" si="32"/>
        <v>1.7054405568785493</v>
      </c>
      <c r="AR57" s="77">
        <f t="shared" si="32"/>
        <v>-6.5271853206039676E-2</v>
      </c>
      <c r="AS57" s="77">
        <f t="shared" si="32"/>
        <v>0.65406253772787637</v>
      </c>
      <c r="AT57" s="77">
        <f t="shared" si="32"/>
        <v>0.23359560895143283</v>
      </c>
      <c r="AU57" s="77">
        <f t="shared" si="32"/>
        <v>8.459854446482451E-2</v>
      </c>
      <c r="AV57" s="77">
        <f t="shared" si="32"/>
        <v>0.58944508695747055</v>
      </c>
      <c r="AW57" s="77">
        <f t="shared" si="32"/>
        <v>0.12863212954509562</v>
      </c>
      <c r="AX57" s="77">
        <f t="shared" si="32"/>
        <v>-4.4034108187668064E-2</v>
      </c>
      <c r="AY57" s="30"/>
      <c r="AZ57" s="30"/>
      <c r="BA57" s="77">
        <f>BA12/AZ12-1</f>
        <v>-7.4843657888819304E-2</v>
      </c>
    </row>
    <row r="58" spans="1:53" ht="12.9" x14ac:dyDescent="0.5">
      <c r="A58" s="56" t="s">
        <v>127</v>
      </c>
      <c r="B58" s="2"/>
      <c r="C58" s="16"/>
      <c r="D58" s="16"/>
      <c r="E58" s="16"/>
      <c r="F58" s="16"/>
      <c r="G58" s="77">
        <f t="shared" ref="G58:AM58" si="33">G14/C14-1</f>
        <v>0.51370346867179917</v>
      </c>
      <c r="H58" s="77">
        <f t="shared" si="33"/>
        <v>0.4145632602503766</v>
      </c>
      <c r="I58" s="77">
        <f t="shared" si="33"/>
        <v>0.32154683492480163</v>
      </c>
      <c r="J58" s="77">
        <f t="shared" si="33"/>
        <v>0.20717224062399819</v>
      </c>
      <c r="K58" s="77">
        <f t="shared" si="33"/>
        <v>0.21695683011266409</v>
      </c>
      <c r="L58" s="77">
        <f t="shared" si="33"/>
        <v>0.25761345212332931</v>
      </c>
      <c r="M58" s="77">
        <f t="shared" si="33"/>
        <v>0.33293014610411809</v>
      </c>
      <c r="N58" s="77">
        <f t="shared" si="33"/>
        <v>0.36315960674194603</v>
      </c>
      <c r="O58" s="77">
        <f t="shared" si="33"/>
        <v>0.44859106410084193</v>
      </c>
      <c r="P58" s="77">
        <f t="shared" si="33"/>
        <v>0.47766203388908535</v>
      </c>
      <c r="Q58" s="77">
        <f t="shared" si="33"/>
        <v>0.50746720122223188</v>
      </c>
      <c r="R58" s="77">
        <f t="shared" si="33"/>
        <v>0.51375814685853882</v>
      </c>
      <c r="S58" s="77">
        <f t="shared" si="33"/>
        <v>0.43487091742035267</v>
      </c>
      <c r="T58" s="77">
        <f t="shared" si="33"/>
        <v>0.44089243598899541</v>
      </c>
      <c r="U58" s="77">
        <f t="shared" si="33"/>
        <v>0.43573576024704463</v>
      </c>
      <c r="V58" s="77">
        <f t="shared" si="33"/>
        <v>0.40846065748159832</v>
      </c>
      <c r="W58" s="77">
        <f t="shared" si="33"/>
        <v>0.43961645223529455</v>
      </c>
      <c r="X58" s="77">
        <f t="shared" si="33"/>
        <v>0.63819004324506623</v>
      </c>
      <c r="Y58" s="77">
        <f t="shared" si="33"/>
        <v>1.3955280566359831</v>
      </c>
      <c r="Z58" s="77">
        <f t="shared" si="33"/>
        <v>1.4051319104420568</v>
      </c>
      <c r="AA58" s="77">
        <f t="shared" si="33"/>
        <v>2.6617457420087769</v>
      </c>
      <c r="AB58" s="77">
        <f t="shared" si="33"/>
        <v>1.4332559620508154</v>
      </c>
      <c r="AC58" s="77">
        <f t="shared" si="33"/>
        <v>0.26726653776656506</v>
      </c>
      <c r="AD58" s="77">
        <f t="shared" si="33"/>
        <v>0.29109614842812692</v>
      </c>
      <c r="AE58" s="77">
        <f t="shared" si="33"/>
        <v>-0.21684129975263333</v>
      </c>
      <c r="AF58" s="77">
        <f t="shared" si="33"/>
        <v>-5.900285258185145E-2</v>
      </c>
      <c r="AG58" s="77">
        <f t="shared" si="33"/>
        <v>0.17447636724271964</v>
      </c>
      <c r="AH58" s="77">
        <f t="shared" si="33"/>
        <v>0.1403366994120927</v>
      </c>
      <c r="AI58" s="77">
        <f t="shared" si="33"/>
        <v>0.25992887522108132</v>
      </c>
      <c r="AJ58" s="77">
        <f t="shared" si="33"/>
        <v>0.25665983804287396</v>
      </c>
      <c r="AK58" s="77">
        <f t="shared" si="33"/>
        <v>0.24403543229925284</v>
      </c>
      <c r="AL58" s="77">
        <f t="shared" si="33"/>
        <v>0.24127362821233378</v>
      </c>
      <c r="AM58" s="77">
        <f t="shared" si="33"/>
        <v>0.1937818866879446</v>
      </c>
      <c r="AN58" s="77">
        <v>0.11212480964170091</v>
      </c>
      <c r="AO58" s="30"/>
      <c r="AP58" s="78"/>
      <c r="AQ58" s="77">
        <f t="shared" ref="AQ58:AX58" si="34">AQ14/AP14-1</f>
        <v>0.34850976783535548</v>
      </c>
      <c r="AR58" s="77">
        <f t="shared" si="34"/>
        <v>0.29585403351395567</v>
      </c>
      <c r="AS58" s="77">
        <f t="shared" si="34"/>
        <v>0.48952129679851408</v>
      </c>
      <c r="AT58" s="77">
        <f t="shared" si="34"/>
        <v>0.42912281542197395</v>
      </c>
      <c r="AU58" s="77">
        <f t="shared" si="34"/>
        <v>1.0149735865068421</v>
      </c>
      <c r="AV58" s="77">
        <f t="shared" si="34"/>
        <v>0.85954808689120532</v>
      </c>
      <c r="AW58" s="77">
        <f t="shared" si="34"/>
        <v>-7.3390244141353644E-3</v>
      </c>
      <c r="AX58" s="77">
        <f t="shared" si="34"/>
        <v>0.25006498270806854</v>
      </c>
      <c r="AY58" s="30"/>
      <c r="AZ58" s="30"/>
      <c r="BA58" s="77">
        <f>BA14/AZ14-1</f>
        <v>0.23282851158443263</v>
      </c>
    </row>
    <row r="59" spans="1:53" ht="12.9" x14ac:dyDescent="0.5">
      <c r="A59" s="56"/>
      <c r="B59" s="2"/>
      <c r="C59" s="28"/>
      <c r="D59" s="28"/>
      <c r="E59" s="28"/>
      <c r="F59" s="28"/>
      <c r="G59" s="79"/>
      <c r="H59" s="79"/>
      <c r="I59" s="79"/>
      <c r="J59" s="79"/>
      <c r="K59" s="79"/>
      <c r="L59" s="79"/>
      <c r="M59" s="79"/>
      <c r="N59" s="79"/>
      <c r="O59" s="79"/>
      <c r="P59" s="79"/>
      <c r="Q59" s="79"/>
      <c r="R59" s="79"/>
      <c r="S59" s="79"/>
      <c r="T59" s="79"/>
      <c r="U59" s="80"/>
      <c r="V59" s="80"/>
      <c r="W59" s="80"/>
      <c r="X59" s="80"/>
      <c r="Y59" s="80"/>
      <c r="Z59" s="80"/>
      <c r="AA59" s="80"/>
      <c r="AB59" s="80"/>
      <c r="AC59" s="80"/>
      <c r="AD59" s="80"/>
      <c r="AE59" s="80"/>
      <c r="AF59" s="80"/>
      <c r="AG59" s="80"/>
      <c r="AH59" s="80"/>
      <c r="AI59" s="80"/>
      <c r="AJ59" s="80"/>
      <c r="AK59" s="80"/>
      <c r="AL59" s="80"/>
      <c r="AM59" s="80"/>
      <c r="AN59" s="80"/>
      <c r="AO59" s="30"/>
      <c r="AP59" s="78"/>
      <c r="AQ59" s="78"/>
      <c r="AR59" s="78"/>
      <c r="AS59" s="78"/>
      <c r="AT59" s="78"/>
      <c r="AU59" s="78"/>
      <c r="AV59" s="78"/>
      <c r="AW59" s="78"/>
      <c r="AX59" s="78"/>
      <c r="AY59" s="30"/>
      <c r="AZ59" s="30"/>
      <c r="BA59" s="78"/>
    </row>
    <row r="60" spans="1:53" ht="12.9" x14ac:dyDescent="0.5">
      <c r="A60" s="56" t="s">
        <v>128</v>
      </c>
      <c r="B60" s="2"/>
      <c r="C60" s="16"/>
      <c r="D60" s="16"/>
      <c r="E60" s="16"/>
      <c r="F60" s="16"/>
      <c r="G60" s="77">
        <f t="shared" ref="G60:AM60" si="35">G24/C24-1</f>
        <v>0.48401426936797476</v>
      </c>
      <c r="H60" s="77">
        <f t="shared" si="35"/>
        <v>0.64883442916915723</v>
      </c>
      <c r="I60" s="77">
        <f t="shared" si="35"/>
        <v>0.56073097290001028</v>
      </c>
      <c r="J60" s="77">
        <f t="shared" si="35"/>
        <v>0.52644990971006389</v>
      </c>
      <c r="K60" s="77">
        <f t="shared" si="35"/>
        <v>0.57321298984034841</v>
      </c>
      <c r="L60" s="77">
        <f t="shared" si="35"/>
        <v>0.39252411737457948</v>
      </c>
      <c r="M60" s="77">
        <f t="shared" si="35"/>
        <v>0.45439546549223619</v>
      </c>
      <c r="N60" s="77">
        <f t="shared" si="35"/>
        <v>0.44020417354751529</v>
      </c>
      <c r="O60" s="77">
        <f t="shared" si="35"/>
        <v>0.47130559127260985</v>
      </c>
      <c r="P60" s="77">
        <f t="shared" si="35"/>
        <v>0.52252577990541349</v>
      </c>
      <c r="Q60" s="77">
        <f t="shared" si="35"/>
        <v>0.61314816847806197</v>
      </c>
      <c r="R60" s="77">
        <f t="shared" si="35"/>
        <v>0.5846808155777008</v>
      </c>
      <c r="S60" s="77">
        <f t="shared" si="35"/>
        <v>0.55486146490574906</v>
      </c>
      <c r="T60" s="77">
        <f t="shared" si="35"/>
        <v>0.47505192897129978</v>
      </c>
      <c r="U60" s="77">
        <f t="shared" si="35"/>
        <v>0.41790109453864921</v>
      </c>
      <c r="V60" s="77">
        <f t="shared" si="35"/>
        <v>0.3867739847495355</v>
      </c>
      <c r="W60" s="77">
        <f t="shared" si="35"/>
        <v>0.35726671942815957</v>
      </c>
      <c r="X60" s="77">
        <f t="shared" si="35"/>
        <v>0.28103339093475288</v>
      </c>
      <c r="Y60" s="77">
        <f t="shared" si="35"/>
        <v>0.58879242936022735</v>
      </c>
      <c r="Z60" s="77">
        <f t="shared" si="35"/>
        <v>0.52488668036558273</v>
      </c>
      <c r="AA60" s="77">
        <f t="shared" si="35"/>
        <v>0.78922601815038407</v>
      </c>
      <c r="AB60" s="77">
        <f t="shared" si="35"/>
        <v>0.91209072948557468</v>
      </c>
      <c r="AC60" s="77">
        <f t="shared" si="35"/>
        <v>0.42640552328325709</v>
      </c>
      <c r="AD60" s="77">
        <f t="shared" si="35"/>
        <v>0.47076857992509558</v>
      </c>
      <c r="AE60" s="77">
        <f t="shared" si="35"/>
        <v>0.34401660612350815</v>
      </c>
      <c r="AF60" s="77">
        <f t="shared" si="35"/>
        <v>0.28796168491716068</v>
      </c>
      <c r="AG60" s="77">
        <f t="shared" si="35"/>
        <v>0.38286997612986062</v>
      </c>
      <c r="AH60" s="77">
        <f t="shared" si="35"/>
        <v>0.40451439119760546</v>
      </c>
      <c r="AI60" s="77">
        <f t="shared" si="35"/>
        <v>0.32404398591462291</v>
      </c>
      <c r="AJ60" s="77">
        <f t="shared" si="35"/>
        <v>0.26976051408228363</v>
      </c>
      <c r="AK60" s="77">
        <f t="shared" si="35"/>
        <v>0.21144938162414517</v>
      </c>
      <c r="AL60" s="77">
        <f t="shared" si="35"/>
        <v>0.22018919464279807</v>
      </c>
      <c r="AM60" s="77">
        <f t="shared" si="35"/>
        <v>0.22156336464121917</v>
      </c>
      <c r="AN60" s="77">
        <v>0.19686983716315454</v>
      </c>
      <c r="AO60" s="30"/>
      <c r="AP60" s="78"/>
      <c r="AQ60" s="77">
        <f t="shared" ref="AQ60:AX60" si="36">AQ24/AP24-1</f>
        <v>0.55673323784558004</v>
      </c>
      <c r="AR60" s="77">
        <f t="shared" si="36"/>
        <v>0.45703234856033803</v>
      </c>
      <c r="AS60" s="77">
        <f t="shared" si="36"/>
        <v>0.55330713708706947</v>
      </c>
      <c r="AT60" s="77">
        <f t="shared" si="36"/>
        <v>0.44947840760911251</v>
      </c>
      <c r="AU60" s="77">
        <f t="shared" si="36"/>
        <v>0.44648922968642912</v>
      </c>
      <c r="AV60" s="77">
        <f t="shared" si="36"/>
        <v>0.61696365234767292</v>
      </c>
      <c r="AW60" s="77">
        <f t="shared" si="36"/>
        <v>0.35568596298992072</v>
      </c>
      <c r="AX60" s="77">
        <f t="shared" si="36"/>
        <v>0.25250688764083207</v>
      </c>
      <c r="AY60" s="30"/>
      <c r="AZ60" s="30"/>
      <c r="BA60" s="77">
        <f>BA24/AZ24-1</f>
        <v>0.22978325251001475</v>
      </c>
    </row>
    <row r="61" spans="1:53" ht="12.9" x14ac:dyDescent="0.5">
      <c r="A61" s="56"/>
      <c r="B61" s="2"/>
      <c r="C61" s="16"/>
      <c r="D61" s="16"/>
      <c r="E61" s="16"/>
      <c r="F61" s="16"/>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c r="AN61" s="63"/>
      <c r="AO61" s="2"/>
      <c r="AP61" s="81"/>
      <c r="AQ61" s="63"/>
      <c r="AR61" s="63"/>
      <c r="AS61" s="63"/>
      <c r="AT61" s="63"/>
      <c r="AU61" s="63"/>
      <c r="AV61" s="63"/>
      <c r="AW61" s="63"/>
      <c r="AX61" s="63"/>
      <c r="AY61" s="2"/>
      <c r="AZ61" s="82"/>
      <c r="BA61" s="63"/>
    </row>
    <row r="62" spans="1:53" ht="52.2" x14ac:dyDescent="0.5">
      <c r="A62" s="65" t="s">
        <v>129</v>
      </c>
      <c r="B62" s="2"/>
      <c r="C62" s="16"/>
      <c r="D62" s="16"/>
      <c r="E62" s="16"/>
      <c r="F62" s="16"/>
      <c r="G62" s="63"/>
      <c r="H62" s="63"/>
      <c r="I62" s="63"/>
      <c r="J62" s="63"/>
      <c r="K62" s="63"/>
      <c r="L62" s="63"/>
      <c r="M62" s="63"/>
      <c r="N62" s="63"/>
      <c r="O62" s="63"/>
      <c r="P62" s="83"/>
      <c r="Q62" s="63"/>
      <c r="R62" s="63"/>
      <c r="S62" s="63"/>
      <c r="T62" s="63"/>
      <c r="U62" s="62"/>
      <c r="V62" s="63"/>
      <c r="W62" s="63"/>
      <c r="X62" s="63"/>
      <c r="Y62" s="63"/>
      <c r="Z62" s="63"/>
      <c r="AA62" s="63"/>
      <c r="AB62" s="63"/>
      <c r="AC62" s="63"/>
      <c r="AD62" s="63"/>
      <c r="AE62" s="63"/>
      <c r="AF62" s="63"/>
      <c r="AG62" s="63"/>
      <c r="AH62" s="63"/>
      <c r="AI62" s="63"/>
      <c r="AJ62" s="63"/>
      <c r="AK62" s="63"/>
      <c r="AL62" s="63"/>
      <c r="AM62" s="63"/>
      <c r="AN62" s="63"/>
      <c r="AO62" s="2"/>
      <c r="AP62" s="81"/>
      <c r="AQ62" s="63"/>
      <c r="AR62" s="63"/>
      <c r="AS62" s="63"/>
      <c r="AT62" s="63"/>
      <c r="AU62" s="63"/>
      <c r="AV62" s="63"/>
      <c r="AW62" s="63"/>
      <c r="AX62" s="63"/>
      <c r="AY62" s="2"/>
      <c r="AZ62" s="82"/>
      <c r="BA62" s="63"/>
    </row>
    <row r="63" spans="1:53" ht="52.2" x14ac:dyDescent="0.5">
      <c r="A63" s="65" t="s">
        <v>130</v>
      </c>
      <c r="B63" s="2"/>
      <c r="C63" s="16"/>
      <c r="D63" s="16"/>
      <c r="E63" s="16"/>
      <c r="F63" s="16"/>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c r="AN63" s="63"/>
      <c r="AO63" s="2"/>
      <c r="AP63" s="81"/>
      <c r="AQ63" s="63"/>
      <c r="AR63" s="63"/>
      <c r="AS63" s="63"/>
      <c r="AT63" s="63"/>
      <c r="AU63" s="63"/>
      <c r="AV63" s="63"/>
      <c r="AW63" s="63"/>
      <c r="AX63" s="63"/>
      <c r="AY63" s="2"/>
      <c r="AZ63" s="82"/>
      <c r="BA63" s="63"/>
    </row>
    <row r="64" spans="1:53" ht="87" x14ac:dyDescent="0.5">
      <c r="A64" s="65" t="s">
        <v>131</v>
      </c>
      <c r="B64" s="2"/>
      <c r="C64" s="16"/>
      <c r="D64" s="16"/>
      <c r="E64" s="16"/>
      <c r="F64" s="16"/>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2"/>
      <c r="AP64" s="81"/>
      <c r="AQ64" s="63"/>
      <c r="AR64" s="63"/>
      <c r="AS64" s="63"/>
      <c r="AT64" s="63"/>
      <c r="AU64" s="63"/>
      <c r="AV64" s="63"/>
      <c r="AW64" s="63"/>
      <c r="AX64" s="63"/>
      <c r="AY64" s="2"/>
      <c r="AZ64" s="82"/>
      <c r="BA64" s="63"/>
    </row>
  </sheetData>
  <mergeCells count="11">
    <mergeCell ref="W4:Z4"/>
    <mergeCell ref="C4:F4"/>
    <mergeCell ref="G4:J4"/>
    <mergeCell ref="K4:N4"/>
    <mergeCell ref="O4:R4"/>
    <mergeCell ref="S4:V4"/>
    <mergeCell ref="AA4:AD4"/>
    <mergeCell ref="AE4:AH4"/>
    <mergeCell ref="AI4:AL4"/>
    <mergeCell ref="AP4:AX4"/>
    <mergeCell ref="AZ4:BA4"/>
  </mergeCells>
  <printOptions horizontalCentered="1" gridLines="1"/>
  <pageMargins left="0.7" right="0.7" top="0.75" bottom="0.75" header="0" footer="0"/>
  <pageSetup fitToHeight="0" pageOrder="overThenDown" orientation="landscape" cellComments="atEnd"/>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0D6385-A840-4227-9A31-93386CE2E25E}">
  <sheetPr>
    <outlinePr summaryBelow="0" summaryRight="0"/>
  </sheetPr>
  <dimension ref="A1:BA148"/>
  <sheetViews>
    <sheetView showGridLines="0" workbookViewId="0">
      <pane xSplit="2" ySplit="7" topLeftCell="AQ113" activePane="bottomRight" state="frozen"/>
      <selection pane="topRight" activeCell="C1" sqref="C1"/>
      <selection pane="bottomLeft" activeCell="A8" sqref="A8"/>
      <selection pane="bottomRight" activeCell="AX123" sqref="AX123"/>
    </sheetView>
  </sheetViews>
  <sheetFormatPr defaultColWidth="12" defaultRowHeight="15.75" customHeight="1" outlineLevelRow="1" outlineLevelCol="1" x14ac:dyDescent="0.5"/>
  <cols>
    <col min="1" max="1" width="56.83984375" style="3" customWidth="1"/>
    <col min="2" max="2" width="3.9453125" style="3" customWidth="1" collapsed="1"/>
    <col min="3" max="14" width="9.62890625" style="3" hidden="1" customWidth="1" outlineLevel="1"/>
    <col min="15" max="18" width="9.62890625" style="3" customWidth="1"/>
    <col min="19" max="40" width="10.89453125" style="3" customWidth="1"/>
    <col min="41" max="41" width="6" style="3" customWidth="1"/>
    <col min="42" max="50" width="12.15625" style="3" customWidth="1"/>
    <col min="51" max="51" width="6" style="3" customWidth="1"/>
    <col min="52" max="53" width="12" style="3" customWidth="1"/>
    <col min="54" max="16384" width="12" style="3"/>
  </cols>
  <sheetData>
    <row r="1" spans="1:53" ht="12.9" x14ac:dyDescent="0.5">
      <c r="A1" s="1" t="s">
        <v>0</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row>
    <row r="2" spans="1:53" ht="12.9" x14ac:dyDescent="0.5">
      <c r="A2" s="4" t="s">
        <v>1</v>
      </c>
      <c r="B2" s="2"/>
      <c r="AE2" s="2"/>
      <c r="AF2" s="2"/>
      <c r="AG2" s="2"/>
      <c r="AH2" s="2"/>
      <c r="AI2" s="2"/>
      <c r="AJ2" s="2"/>
      <c r="AK2" s="2"/>
      <c r="AL2" s="2"/>
      <c r="AM2" s="2"/>
      <c r="AN2" s="2"/>
      <c r="AO2" s="2"/>
      <c r="AP2" s="2"/>
      <c r="AQ2" s="2"/>
      <c r="AR2" s="2"/>
      <c r="AS2" s="2"/>
      <c r="AT2" s="2"/>
      <c r="AU2" s="2"/>
      <c r="AV2" s="2"/>
      <c r="AW2" s="2"/>
      <c r="AX2" s="2"/>
      <c r="AY2" s="2"/>
      <c r="AZ2" s="2"/>
      <c r="BA2" s="2"/>
    </row>
    <row r="3" spans="1:53" ht="12.9" x14ac:dyDescent="0.5">
      <c r="A3" s="4" t="s">
        <v>2</v>
      </c>
      <c r="B3" s="2"/>
      <c r="W3" s="1"/>
      <c r="X3" s="1"/>
      <c r="Y3" s="1"/>
      <c r="Z3" s="1"/>
      <c r="AA3" s="1"/>
      <c r="AB3" s="1"/>
      <c r="AC3" s="1"/>
      <c r="AD3" s="1"/>
      <c r="AE3" s="2"/>
      <c r="AF3" s="2"/>
      <c r="AG3" s="2"/>
      <c r="AH3" s="2"/>
      <c r="AI3" s="2"/>
      <c r="AJ3" s="2"/>
      <c r="AK3" s="2"/>
      <c r="AL3" s="2"/>
      <c r="AM3" s="2"/>
      <c r="AN3" s="2"/>
      <c r="AO3" s="2"/>
      <c r="AP3" s="2"/>
      <c r="AQ3" s="2"/>
      <c r="AR3" s="2"/>
      <c r="AS3" s="2"/>
      <c r="AT3" s="2"/>
      <c r="AU3" s="2"/>
      <c r="AV3" s="2"/>
      <c r="AW3" s="2"/>
      <c r="AX3" s="2"/>
      <c r="AY3" s="2"/>
      <c r="AZ3" s="2"/>
      <c r="BA3" s="2"/>
    </row>
    <row r="4" spans="1:53" ht="25.8" collapsed="1" x14ac:dyDescent="0.5">
      <c r="A4" s="4" t="s">
        <v>3</v>
      </c>
      <c r="B4" s="2"/>
      <c r="C4" s="364" t="s">
        <v>4</v>
      </c>
      <c r="D4" s="365"/>
      <c r="E4" s="365"/>
      <c r="F4" s="365"/>
      <c r="G4" s="364" t="s">
        <v>4</v>
      </c>
      <c r="H4" s="365"/>
      <c r="I4" s="365"/>
      <c r="J4" s="365"/>
      <c r="K4" s="364" t="s">
        <v>4</v>
      </c>
      <c r="L4" s="365"/>
      <c r="M4" s="365"/>
      <c r="N4" s="365"/>
      <c r="O4" s="364" t="s">
        <v>4</v>
      </c>
      <c r="P4" s="365"/>
      <c r="Q4" s="365"/>
      <c r="R4" s="365"/>
      <c r="S4" s="364" t="s">
        <v>4</v>
      </c>
      <c r="T4" s="365"/>
      <c r="U4" s="365"/>
      <c r="V4" s="365"/>
      <c r="W4" s="364" t="s">
        <v>4</v>
      </c>
      <c r="X4" s="365"/>
      <c r="Y4" s="365"/>
      <c r="Z4" s="365"/>
      <c r="AA4" s="366" t="s">
        <v>4</v>
      </c>
      <c r="AB4" s="365"/>
      <c r="AC4" s="365"/>
      <c r="AD4" s="365"/>
      <c r="AE4" s="366" t="s">
        <v>4</v>
      </c>
      <c r="AF4" s="365"/>
      <c r="AG4" s="365"/>
      <c r="AH4" s="365"/>
      <c r="AI4" s="366" t="s">
        <v>4</v>
      </c>
      <c r="AJ4" s="365"/>
      <c r="AK4" s="365"/>
      <c r="AL4" s="365"/>
      <c r="AM4" s="6" t="s">
        <v>4</v>
      </c>
      <c r="AN4" s="249"/>
      <c r="AO4" s="1"/>
      <c r="AP4" s="364" t="s">
        <v>5</v>
      </c>
      <c r="AQ4" s="365"/>
      <c r="AR4" s="365"/>
      <c r="AS4" s="365"/>
      <c r="AT4" s="365"/>
      <c r="AU4" s="365"/>
      <c r="AV4" s="365"/>
      <c r="AW4" s="365"/>
      <c r="AX4" s="365"/>
      <c r="AY4" s="1"/>
      <c r="AZ4" s="364" t="s">
        <v>6</v>
      </c>
      <c r="BA4" s="365"/>
    </row>
    <row r="5" spans="1:53" ht="12.9" hidden="1" outlineLevel="1" x14ac:dyDescent="0.5">
      <c r="A5" s="7"/>
      <c r="B5" s="7"/>
      <c r="C5" s="8">
        <v>42094</v>
      </c>
      <c r="D5" s="9">
        <f t="shared" ref="D5:U5" si="0">EOMONTH(C5,3)</f>
        <v>42185</v>
      </c>
      <c r="E5" s="9">
        <f t="shared" si="0"/>
        <v>42277</v>
      </c>
      <c r="F5" s="9">
        <f t="shared" si="0"/>
        <v>42369</v>
      </c>
      <c r="G5" s="9">
        <f t="shared" si="0"/>
        <v>42460</v>
      </c>
      <c r="H5" s="9">
        <f t="shared" si="0"/>
        <v>42551</v>
      </c>
      <c r="I5" s="9">
        <f t="shared" si="0"/>
        <v>42643</v>
      </c>
      <c r="J5" s="9">
        <f t="shared" si="0"/>
        <v>42735</v>
      </c>
      <c r="K5" s="9">
        <f t="shared" si="0"/>
        <v>42825</v>
      </c>
      <c r="L5" s="9">
        <f t="shared" si="0"/>
        <v>42916</v>
      </c>
      <c r="M5" s="9">
        <f t="shared" si="0"/>
        <v>43008</v>
      </c>
      <c r="N5" s="9">
        <f t="shared" si="0"/>
        <v>43100</v>
      </c>
      <c r="O5" s="9">
        <f t="shared" si="0"/>
        <v>43190</v>
      </c>
      <c r="P5" s="9">
        <f t="shared" si="0"/>
        <v>43281</v>
      </c>
      <c r="Q5" s="9">
        <f t="shared" si="0"/>
        <v>43373</v>
      </c>
      <c r="R5" s="9">
        <f t="shared" si="0"/>
        <v>43465</v>
      </c>
      <c r="S5" s="9">
        <f t="shared" si="0"/>
        <v>43555</v>
      </c>
      <c r="T5" s="9">
        <f t="shared" si="0"/>
        <v>43646</v>
      </c>
      <c r="U5" s="9">
        <f t="shared" si="0"/>
        <v>43738</v>
      </c>
      <c r="V5" s="9">
        <v>43830</v>
      </c>
      <c r="W5" s="9">
        <v>43921</v>
      </c>
      <c r="X5" s="9">
        <v>44012</v>
      </c>
      <c r="Y5" s="9">
        <v>44104</v>
      </c>
      <c r="Z5" s="9">
        <v>44196</v>
      </c>
      <c r="AA5" s="9">
        <v>44286</v>
      </c>
      <c r="AB5" s="9">
        <v>44377</v>
      </c>
      <c r="AC5" s="9">
        <v>44469</v>
      </c>
      <c r="AD5" s="9">
        <v>44561</v>
      </c>
      <c r="AE5" s="10">
        <v>44651</v>
      </c>
      <c r="AF5" s="10">
        <v>44742</v>
      </c>
      <c r="AG5" s="10">
        <v>44834</v>
      </c>
      <c r="AH5" s="9">
        <v>44926</v>
      </c>
      <c r="AI5" s="10">
        <v>45016</v>
      </c>
      <c r="AJ5" s="10">
        <v>45107</v>
      </c>
      <c r="AK5" s="10">
        <v>45199</v>
      </c>
      <c r="AL5" s="10">
        <v>45291</v>
      </c>
      <c r="AM5" s="10">
        <v>45382</v>
      </c>
      <c r="AN5" s="10"/>
      <c r="AO5" s="1"/>
      <c r="AP5" s="1"/>
      <c r="AQ5" s="1"/>
      <c r="AR5" s="1"/>
      <c r="AS5" s="1"/>
      <c r="AT5" s="1"/>
      <c r="AU5" s="1"/>
      <c r="AV5" s="1"/>
      <c r="AW5" s="1"/>
      <c r="AX5" s="1"/>
      <c r="AY5" s="9"/>
      <c r="AZ5" s="10">
        <v>45016</v>
      </c>
      <c r="BA5" s="10">
        <v>45382</v>
      </c>
    </row>
    <row r="6" spans="1:53" ht="12.9" x14ac:dyDescent="0.5">
      <c r="A6" s="7"/>
      <c r="B6" s="7"/>
      <c r="C6" s="11" t="s">
        <v>7</v>
      </c>
      <c r="D6" s="11" t="s">
        <v>8</v>
      </c>
      <c r="E6" s="11" t="s">
        <v>9</v>
      </c>
      <c r="F6" s="11" t="s">
        <v>10</v>
      </c>
      <c r="G6" s="11" t="s">
        <v>7</v>
      </c>
      <c r="H6" s="11" t="s">
        <v>8</v>
      </c>
      <c r="I6" s="11" t="s">
        <v>9</v>
      </c>
      <c r="J6" s="11" t="s">
        <v>10</v>
      </c>
      <c r="K6" s="11" t="s">
        <v>7</v>
      </c>
      <c r="L6" s="11" t="s">
        <v>8</v>
      </c>
      <c r="M6" s="11" t="s">
        <v>9</v>
      </c>
      <c r="N6" s="11" t="s">
        <v>10</v>
      </c>
      <c r="O6" s="11" t="s">
        <v>7</v>
      </c>
      <c r="P6" s="11" t="s">
        <v>8</v>
      </c>
      <c r="Q6" s="11" t="s">
        <v>9</v>
      </c>
      <c r="R6" s="11" t="s">
        <v>10</v>
      </c>
      <c r="S6" s="11" t="s">
        <v>7</v>
      </c>
      <c r="T6" s="11" t="s">
        <v>8</v>
      </c>
      <c r="U6" s="11" t="s">
        <v>9</v>
      </c>
      <c r="V6" s="11" t="s">
        <v>10</v>
      </c>
      <c r="W6" s="11" t="s">
        <v>7</v>
      </c>
      <c r="X6" s="11" t="s">
        <v>8</v>
      </c>
      <c r="Y6" s="11" t="s">
        <v>9</v>
      </c>
      <c r="Z6" s="11" t="s">
        <v>10</v>
      </c>
      <c r="AA6" s="11" t="s">
        <v>7</v>
      </c>
      <c r="AB6" s="11" t="s">
        <v>8</v>
      </c>
      <c r="AC6" s="11" t="s">
        <v>9</v>
      </c>
      <c r="AD6" s="11" t="s">
        <v>10</v>
      </c>
      <c r="AE6" s="11" t="s">
        <v>7</v>
      </c>
      <c r="AF6" s="11" t="s">
        <v>8</v>
      </c>
      <c r="AG6" s="11" t="s">
        <v>9</v>
      </c>
      <c r="AH6" s="11" t="s">
        <v>10</v>
      </c>
      <c r="AI6" s="11" t="s">
        <v>7</v>
      </c>
      <c r="AJ6" s="11" t="s">
        <v>8</v>
      </c>
      <c r="AK6" s="11" t="s">
        <v>9</v>
      </c>
      <c r="AL6" s="11" t="s">
        <v>10</v>
      </c>
      <c r="AM6" s="11" t="s">
        <v>7</v>
      </c>
      <c r="AN6" s="11" t="s">
        <v>8</v>
      </c>
      <c r="AO6" s="1"/>
      <c r="AP6" s="1" t="s">
        <v>10</v>
      </c>
      <c r="AQ6" s="1" t="s">
        <v>10</v>
      </c>
      <c r="AR6" s="1" t="s">
        <v>10</v>
      </c>
      <c r="AS6" s="1" t="s">
        <v>10</v>
      </c>
      <c r="AT6" s="1" t="s">
        <v>10</v>
      </c>
      <c r="AU6" s="1" t="s">
        <v>10</v>
      </c>
      <c r="AV6" s="1" t="s">
        <v>10</v>
      </c>
      <c r="AW6" s="1" t="s">
        <v>10</v>
      </c>
      <c r="AX6" s="11" t="s">
        <v>10</v>
      </c>
      <c r="AY6" s="11"/>
      <c r="AZ6" s="11" t="s">
        <v>7</v>
      </c>
      <c r="BA6" s="11" t="s">
        <v>7</v>
      </c>
    </row>
    <row r="7" spans="1:53" ht="12.9" x14ac:dyDescent="0.5">
      <c r="A7" s="7"/>
      <c r="B7" s="7"/>
      <c r="C7" s="1">
        <v>2015</v>
      </c>
      <c r="D7" s="1">
        <v>2015</v>
      </c>
      <c r="E7" s="1">
        <v>2015</v>
      </c>
      <c r="F7" s="1">
        <v>2015</v>
      </c>
      <c r="G7" s="1">
        <v>2016</v>
      </c>
      <c r="H7" s="1">
        <v>2016</v>
      </c>
      <c r="I7" s="1">
        <v>2016</v>
      </c>
      <c r="J7" s="1">
        <v>2016</v>
      </c>
      <c r="K7" s="1">
        <v>2017</v>
      </c>
      <c r="L7" s="1">
        <v>2017</v>
      </c>
      <c r="M7" s="1">
        <v>2017</v>
      </c>
      <c r="N7" s="1">
        <v>2017</v>
      </c>
      <c r="O7" s="1">
        <v>2018</v>
      </c>
      <c r="P7" s="1">
        <v>2018</v>
      </c>
      <c r="Q7" s="1">
        <v>2018</v>
      </c>
      <c r="R7" s="1">
        <v>2018</v>
      </c>
      <c r="S7" s="1">
        <v>2019</v>
      </c>
      <c r="T7" s="1">
        <v>2019</v>
      </c>
      <c r="U7" s="1">
        <v>2019</v>
      </c>
      <c r="V7" s="1">
        <v>2019</v>
      </c>
      <c r="W7" s="1">
        <v>2020</v>
      </c>
      <c r="X7" s="1">
        <v>2020</v>
      </c>
      <c r="Y7" s="1">
        <v>2020</v>
      </c>
      <c r="Z7" s="1">
        <v>2020</v>
      </c>
      <c r="AA7" s="1">
        <v>2021</v>
      </c>
      <c r="AB7" s="1">
        <v>2021</v>
      </c>
      <c r="AC7" s="1">
        <v>2021</v>
      </c>
      <c r="AD7" s="1">
        <v>2021</v>
      </c>
      <c r="AE7" s="1">
        <v>2022</v>
      </c>
      <c r="AF7" s="1">
        <v>2022</v>
      </c>
      <c r="AG7" s="1">
        <v>2022</v>
      </c>
      <c r="AH7" s="1">
        <v>2022</v>
      </c>
      <c r="AI7" s="1">
        <v>2023</v>
      </c>
      <c r="AJ7" s="1">
        <v>2023</v>
      </c>
      <c r="AK7" s="1">
        <v>2023</v>
      </c>
      <c r="AL7" s="1">
        <v>2023</v>
      </c>
      <c r="AM7" s="1">
        <v>2024</v>
      </c>
      <c r="AN7" s="1">
        <v>2024</v>
      </c>
      <c r="AO7" s="1"/>
      <c r="AP7" s="1">
        <v>2015</v>
      </c>
      <c r="AQ7" s="1">
        <v>2016</v>
      </c>
      <c r="AR7" s="1">
        <v>2017</v>
      </c>
      <c r="AS7" s="1">
        <v>2018</v>
      </c>
      <c r="AT7" s="1">
        <v>2019</v>
      </c>
      <c r="AU7" s="1">
        <v>2020</v>
      </c>
      <c r="AV7" s="1">
        <v>2021</v>
      </c>
      <c r="AW7" s="1">
        <v>2022</v>
      </c>
      <c r="AX7" s="1">
        <v>2023</v>
      </c>
      <c r="AY7" s="1"/>
      <c r="AZ7" s="1">
        <v>2023</v>
      </c>
      <c r="BA7" s="1">
        <v>2024</v>
      </c>
    </row>
    <row r="8" spans="1:53" ht="12.9" collapsed="1" x14ac:dyDescent="0.5">
      <c r="A8" s="7" t="s">
        <v>11</v>
      </c>
      <c r="B8" s="2"/>
      <c r="C8" s="12">
        <f>'[23]GAAP IS'!C14</f>
        <v>250557</v>
      </c>
      <c r="D8" s="12">
        <f>'[23]GAAP IS'!D14</f>
        <v>310013</v>
      </c>
      <c r="E8" s="12">
        <f>'[23]GAAP IS'!E14</f>
        <v>332188</v>
      </c>
      <c r="F8" s="12">
        <f>'[23]GAAP IS'!F14</f>
        <v>374360</v>
      </c>
      <c r="G8" s="12">
        <f>'[23]GAAP IS'!G14</f>
        <v>379269</v>
      </c>
      <c r="H8" s="12">
        <f>'[23]GAAP IS'!H14</f>
        <v>438533</v>
      </c>
      <c r="I8" s="12">
        <f>'[23]GAAP IS'!I14</f>
        <v>439002</v>
      </c>
      <c r="J8" s="12">
        <f>'[23]GAAP IS'!J14</f>
        <v>451917</v>
      </c>
      <c r="K8" s="12">
        <f>'[23]GAAP IS'!K14</f>
        <v>461554</v>
      </c>
      <c r="L8" s="12">
        <f>'[23]GAAP IS'!L14</f>
        <v>551505</v>
      </c>
      <c r="M8" s="12">
        <f>'[23]GAAP IS'!M14</f>
        <v>585159</v>
      </c>
      <c r="N8" s="12">
        <f>'[23]GAAP IS'!N14</f>
        <v>616035</v>
      </c>
      <c r="O8" s="12">
        <f>'[23]GAAP IS'!O14</f>
        <v>668603</v>
      </c>
      <c r="P8" s="12">
        <f>'[23]GAAP IS'!P14</f>
        <v>814938</v>
      </c>
      <c r="Q8" s="12">
        <f>'[23]GAAP IS'!Q14</f>
        <v>882108</v>
      </c>
      <c r="R8" s="12">
        <f>'[23]GAAP IS'!R14</f>
        <v>932528</v>
      </c>
      <c r="S8" s="12">
        <f>'[23]GAAP IS'!S14</f>
        <v>959359</v>
      </c>
      <c r="T8" s="12">
        <f>'[23]GAAP IS'!T14</f>
        <v>1174238</v>
      </c>
      <c r="U8" s="12">
        <f>'[23]GAAP IS'!U14</f>
        <v>1266474</v>
      </c>
      <c r="V8" s="12">
        <f>'[23]GAAP IS'!V14</f>
        <v>1313429</v>
      </c>
      <c r="W8" s="12">
        <f>'[23]GAAP IS'!W14</f>
        <v>1381109</v>
      </c>
      <c r="X8" s="12">
        <f>'[23]GAAP IS'!X14</f>
        <v>1923625</v>
      </c>
      <c r="Y8" s="12">
        <f>'[23]GAAP IS'!Y14</f>
        <v>3033874</v>
      </c>
      <c r="Z8" s="12">
        <f>'[23]GAAP IS'!Z14</f>
        <v>3158970</v>
      </c>
      <c r="AA8" s="12">
        <f>'[23]GAAP IS'!AA14</f>
        <v>5057270</v>
      </c>
      <c r="AB8" s="12">
        <f>'[23]GAAP IS'!AB14</f>
        <v>4680672</v>
      </c>
      <c r="AC8" s="12">
        <f>'[23]GAAP IS'!AC14</f>
        <v>3844727</v>
      </c>
      <c r="AD8" s="12">
        <f>'[23]GAAP IS'!AD14</f>
        <v>4078534</v>
      </c>
      <c r="AE8" s="12">
        <f>'[23]GAAP IS'!AE14</f>
        <v>3960645</v>
      </c>
      <c r="AF8" s="12">
        <f>'[23]GAAP IS'!AF14</f>
        <v>4404499</v>
      </c>
      <c r="AG8" s="12">
        <f>'[23]GAAP IS'!AG14</f>
        <v>4515541</v>
      </c>
      <c r="AH8" s="12">
        <f>'[23]GAAP IS'!AH14</f>
        <v>4650902</v>
      </c>
      <c r="AI8" s="12">
        <f>'[23]GAAP IS'!AI14</f>
        <v>4990131</v>
      </c>
      <c r="AJ8" s="12">
        <f>'[23]GAAP IS'!AJ14</f>
        <v>5534957</v>
      </c>
      <c r="AK8" s="12">
        <f>'[23]GAAP IS'!AK14</f>
        <v>5617493</v>
      </c>
      <c r="AL8" s="12">
        <f>'[23]GAAP IS'!AL14</f>
        <v>5773042</v>
      </c>
      <c r="AM8" s="12">
        <f>'[23]GAAP IS'!AM14</f>
        <v>5957128</v>
      </c>
      <c r="AN8" s="12">
        <v>6155563</v>
      </c>
      <c r="AO8" s="12"/>
      <c r="AP8" s="12">
        <f t="shared" ref="AP8:AV8" si="1">SUMIFS($C8:$AD8,$C$7:$AD$7,AP$7)</f>
        <v>1267118</v>
      </c>
      <c r="AQ8" s="12">
        <f t="shared" si="1"/>
        <v>1708721</v>
      </c>
      <c r="AR8" s="12">
        <f t="shared" si="1"/>
        <v>2214253</v>
      </c>
      <c r="AS8" s="12">
        <f t="shared" si="1"/>
        <v>3298177</v>
      </c>
      <c r="AT8" s="12">
        <f t="shared" si="1"/>
        <v>4713500</v>
      </c>
      <c r="AU8" s="12">
        <f t="shared" si="1"/>
        <v>9497578</v>
      </c>
      <c r="AV8" s="12">
        <f t="shared" si="1"/>
        <v>17661203</v>
      </c>
      <c r="AW8" s="12">
        <f>SUMIFS($C8:$AH8,$C$7:$AH$7,AW$7)</f>
        <v>17531587</v>
      </c>
      <c r="AX8" s="12">
        <f>SUMIFS($C8:$AL8,$C$7:$AL$7,AX$7)</f>
        <v>21915623</v>
      </c>
      <c r="AY8" s="12"/>
      <c r="AZ8" s="12">
        <f>SUMIFS($C8:$AM8,$C$5:$AM$5,"&lt;="&amp;AZ$5,$C$5:$AM$5,"&gt;"&amp;EOMONTH(AZ$5,-12))</f>
        <v>18561073</v>
      </c>
      <c r="BA8" s="12">
        <f>SUMIFS($C8:$AM8,$C$5:$AM$5,"&lt;="&amp;BA$5,$C$5:$AM$5,"&gt;"&amp;EOMONTH(BA$5,-12))</f>
        <v>22882620</v>
      </c>
    </row>
    <row r="9" spans="1:53" ht="12.9" hidden="1" outlineLevel="1" x14ac:dyDescent="0.5">
      <c r="A9" s="13" t="s">
        <v>12</v>
      </c>
      <c r="B9" s="13"/>
      <c r="C9" s="14">
        <v>29237</v>
      </c>
      <c r="D9" s="14">
        <v>33630</v>
      </c>
      <c r="E9" s="14">
        <v>32332</v>
      </c>
      <c r="F9" s="14">
        <v>47084</v>
      </c>
      <c r="G9" s="14">
        <v>38838</v>
      </c>
      <c r="H9" s="14">
        <v>32867</v>
      </c>
      <c r="I9" s="14">
        <v>7164</v>
      </c>
      <c r="J9" s="14">
        <v>34</v>
      </c>
      <c r="K9" s="14"/>
      <c r="L9" s="14"/>
      <c r="M9" s="14"/>
      <c r="N9" s="14"/>
      <c r="O9" s="14"/>
      <c r="P9" s="14"/>
      <c r="Q9" s="14"/>
      <c r="R9" s="14"/>
      <c r="S9" s="14"/>
      <c r="T9" s="14"/>
      <c r="U9" s="14"/>
      <c r="V9" s="14"/>
      <c r="W9" s="14"/>
      <c r="X9" s="14"/>
      <c r="Y9" s="14"/>
      <c r="Z9" s="14"/>
      <c r="AA9" s="14"/>
      <c r="AB9" s="14"/>
      <c r="AC9" s="14"/>
      <c r="AD9" s="14"/>
      <c r="AE9" s="15"/>
      <c r="AF9" s="15"/>
      <c r="AG9" s="15"/>
      <c r="AH9" s="15"/>
      <c r="AI9" s="15"/>
      <c r="AJ9" s="15"/>
      <c r="AK9" s="15"/>
      <c r="AL9" s="15"/>
      <c r="AM9" s="15"/>
      <c r="AN9" s="15"/>
      <c r="AO9" s="15"/>
      <c r="AP9" s="15">
        <f>SUMIFS($C9:$V9,$C$7:$V$7,AP$7)</f>
        <v>142283</v>
      </c>
      <c r="AQ9" s="15">
        <f>SUMIFS($C9:$V9,$C$7:$V$7,AQ$7)</f>
        <v>78903</v>
      </c>
      <c r="AR9" s="15"/>
      <c r="AS9" s="15"/>
      <c r="AT9" s="15"/>
      <c r="AU9" s="15"/>
      <c r="AV9" s="15"/>
      <c r="AW9" s="15"/>
      <c r="AX9" s="15"/>
      <c r="AY9" s="15"/>
      <c r="AZ9" s="15"/>
      <c r="BA9" s="15"/>
    </row>
    <row r="10" spans="1:53" ht="12.9" x14ac:dyDescent="0.5">
      <c r="A10" s="2" t="s">
        <v>13</v>
      </c>
      <c r="B10" s="2"/>
      <c r="C10" s="16">
        <v>132107</v>
      </c>
      <c r="D10" s="16">
        <v>165823</v>
      </c>
      <c r="E10" s="16">
        <v>182007</v>
      </c>
      <c r="F10" s="16">
        <v>192730</v>
      </c>
      <c r="G10" s="16">
        <v>194276</v>
      </c>
      <c r="H10" s="16">
        <v>234857</v>
      </c>
      <c r="I10" s="16">
        <v>254061</v>
      </c>
      <c r="J10" s="16">
        <v>260006</v>
      </c>
      <c r="K10" s="16">
        <v>257778</v>
      </c>
      <c r="L10" s="16">
        <v>311092</v>
      </c>
      <c r="M10" s="16">
        <v>328043</v>
      </c>
      <c r="N10" s="16">
        <v>333377</v>
      </c>
      <c r="O10" s="16">
        <v>327911</v>
      </c>
      <c r="P10" s="16">
        <v>395349</v>
      </c>
      <c r="Q10" s="16">
        <v>414456</v>
      </c>
      <c r="R10" s="16">
        <v>420846</v>
      </c>
      <c r="S10" s="16">
        <v>409069</v>
      </c>
      <c r="T10" s="16">
        <v>490349</v>
      </c>
      <c r="U10" s="16">
        <v>519312</v>
      </c>
      <c r="V10" s="16">
        <f>'[23]GAAP IS'!V17</f>
        <v>519381</v>
      </c>
      <c r="W10" s="16">
        <f>'[23]GAAP IS'!W17</f>
        <v>466466</v>
      </c>
      <c r="X10" s="16">
        <f>'[23]GAAP IS'!X17</f>
        <v>389136</v>
      </c>
      <c r="Y10" s="16">
        <f>'[23]GAAP IS'!Y17</f>
        <v>524056</v>
      </c>
      <c r="Z10" s="16">
        <f>'[23]GAAP IS'!Z17</f>
        <v>536986</v>
      </c>
      <c r="AA10" s="16">
        <f>'[23]GAAP IS'!AA17</f>
        <v>524281</v>
      </c>
      <c r="AB10" s="16">
        <f>'[23]GAAP IS'!AB17</f>
        <v>682348</v>
      </c>
      <c r="AC10" s="16">
        <f>'[23]GAAP IS'!AC17</f>
        <v>751794</v>
      </c>
      <c r="AD10" s="16">
        <f>'[23]GAAP IS'!AD17</f>
        <v>761079</v>
      </c>
      <c r="AE10" s="16">
        <f>'[23]GAAP IS'!AE17</f>
        <v>716236</v>
      </c>
      <c r="AF10" s="16">
        <v>875762</v>
      </c>
      <c r="AG10" s="16">
        <f>'[23]GAAP IS'!AG17</f>
        <v>901990</v>
      </c>
      <c r="AH10" s="16">
        <f>'[23]GAAP IS'!AH17</f>
        <v>870040</v>
      </c>
      <c r="AI10" s="16">
        <f>'[23]GAAP IS'!AI17</f>
        <v>820787</v>
      </c>
      <c r="AJ10" s="16">
        <f>'[23]GAAP IS'!AJ17</f>
        <v>950523</v>
      </c>
      <c r="AK10" s="16">
        <f>'[23]GAAP IS'!AK17</f>
        <v>984658</v>
      </c>
      <c r="AL10" s="16">
        <f>'[23]GAAP IS'!AL17</f>
        <v>946048</v>
      </c>
      <c r="AM10" s="16">
        <f>'[23]GAAP IS'!AM17</f>
        <v>873165</v>
      </c>
      <c r="AN10" s="16">
        <v>1000055</v>
      </c>
      <c r="AO10" s="17"/>
      <c r="AP10" s="17">
        <f t="shared" ref="AP10:AV12" si="2">SUMIFS($C10:$AD10,$C$7:$AD$7,AP$7)</f>
        <v>672667</v>
      </c>
      <c r="AQ10" s="17">
        <f t="shared" si="2"/>
        <v>943200</v>
      </c>
      <c r="AR10" s="17">
        <f t="shared" si="2"/>
        <v>1230290</v>
      </c>
      <c r="AS10" s="17">
        <f t="shared" si="2"/>
        <v>1558562</v>
      </c>
      <c r="AT10" s="17">
        <f t="shared" si="2"/>
        <v>1938111</v>
      </c>
      <c r="AU10" s="17">
        <f t="shared" si="2"/>
        <v>1916644</v>
      </c>
      <c r="AV10" s="17">
        <f t="shared" si="2"/>
        <v>2719502</v>
      </c>
      <c r="AW10" s="17">
        <f>SUMIFS($C10:$AH10,$C$7:$AH$7,AW$7)</f>
        <v>3364028</v>
      </c>
      <c r="AX10" s="17">
        <f>SUMIFS($C10:$AL10,$C$7:$AL$7,AX$7)</f>
        <v>3702016</v>
      </c>
      <c r="AY10" s="17"/>
      <c r="AZ10" s="17">
        <f>SUMIFS($C10:$AM10,$C$5:$AM$5,"&lt;="&amp;AZ$5,$C$5:$AM$5,"&gt;"&amp;EOMONTH(AZ$5,-12))</f>
        <v>3468579</v>
      </c>
      <c r="BA10" s="17">
        <f>SUMIFS($C10:$AM10,$C$5:$AM$5,"&lt;="&amp;BA$5,$C$5:$AM$5,"&gt;"&amp;EOMONTH(BA$5,-12))</f>
        <v>3754394</v>
      </c>
    </row>
    <row r="11" spans="1:53" ht="12.9" x14ac:dyDescent="0.5">
      <c r="A11" s="2" t="s">
        <v>14</v>
      </c>
      <c r="B11" s="2"/>
      <c r="C11" s="16"/>
      <c r="D11" s="16"/>
      <c r="E11" s="16"/>
      <c r="F11" s="16"/>
      <c r="G11" s="16"/>
      <c r="H11" s="16"/>
      <c r="I11" s="16"/>
      <c r="J11" s="16"/>
      <c r="K11" s="16"/>
      <c r="L11" s="16"/>
      <c r="M11" s="16"/>
      <c r="N11" s="16"/>
      <c r="O11" s="16">
        <v>33872</v>
      </c>
      <c r="P11" s="16">
        <v>36596</v>
      </c>
      <c r="Q11" s="16">
        <v>42408</v>
      </c>
      <c r="R11" s="16">
        <v>51951</v>
      </c>
      <c r="S11" s="16">
        <v>64696</v>
      </c>
      <c r="T11" s="16">
        <v>122938</v>
      </c>
      <c r="U11" s="16">
        <v>146167</v>
      </c>
      <c r="V11" s="16">
        <f>'[23]GAAP IS'!V21</f>
        <v>174438</v>
      </c>
      <c r="W11" s="16">
        <f>'[23]GAAP IS'!W21</f>
        <v>299426</v>
      </c>
      <c r="X11" s="16">
        <f>'[23]GAAP IS'!X21</f>
        <v>858041</v>
      </c>
      <c r="Y11" s="16">
        <f>'[23]GAAP IS'!Y21</f>
        <v>1601615</v>
      </c>
      <c r="Z11" s="16">
        <f>'[23]GAAP IS'!Z21</f>
        <v>1715452</v>
      </c>
      <c r="AA11" s="16">
        <f>'[23]GAAP IS'!AA21</f>
        <v>3436135</v>
      </c>
      <c r="AB11" s="16">
        <f>'[23]GAAP IS'!AB21</f>
        <v>2669641</v>
      </c>
      <c r="AC11" s="16">
        <f>'[23]GAAP IS'!AC21</f>
        <v>1774040</v>
      </c>
      <c r="AD11" s="16">
        <f>'[23]GAAP IS'!AD21</f>
        <v>1915176</v>
      </c>
      <c r="AE11" s="16">
        <f>'[23]GAAP IS'!AE21</f>
        <v>1687459</v>
      </c>
      <c r="AF11" s="16">
        <v>1744425</v>
      </c>
      <c r="AG11" s="16">
        <f>'[23]GAAP IS'!AG21</f>
        <v>1726051</v>
      </c>
      <c r="AH11" s="16">
        <f>'[23]GAAP IS'!AH21</f>
        <v>1798798</v>
      </c>
      <c r="AI11" s="16">
        <f>'[23]GAAP IS'!AI21</f>
        <v>2113375</v>
      </c>
      <c r="AJ11" s="16">
        <f>'[23]GAAP IS'!AJ21</f>
        <v>2346633</v>
      </c>
      <c r="AK11" s="16">
        <f>'[23]GAAP IS'!AK21</f>
        <v>2378906</v>
      </c>
      <c r="AL11" s="16">
        <f>'[23]GAAP IS'!AL21</f>
        <v>2454199</v>
      </c>
      <c r="AM11" s="16">
        <f>'[23]GAAP IS'!AM21</f>
        <v>2651010</v>
      </c>
      <c r="AN11" s="16">
        <v>2544329</v>
      </c>
      <c r="AO11" s="17"/>
      <c r="AP11" s="18"/>
      <c r="AQ11" s="18"/>
      <c r="AR11" s="18"/>
      <c r="AS11" s="17">
        <f t="shared" si="2"/>
        <v>164827</v>
      </c>
      <c r="AT11" s="17">
        <f t="shared" si="2"/>
        <v>508239</v>
      </c>
      <c r="AU11" s="17">
        <f t="shared" si="2"/>
        <v>4474534</v>
      </c>
      <c r="AV11" s="17">
        <f t="shared" si="2"/>
        <v>9794992</v>
      </c>
      <c r="AW11" s="17">
        <f>SUMIFS($C11:$AH11,$C$7:$AH$7,AW$7)</f>
        <v>6956733</v>
      </c>
      <c r="AX11" s="17">
        <f>SUMIFS($C11:$AL11,$C$7:$AL$7,AX$7)</f>
        <v>9293113</v>
      </c>
      <c r="AY11" s="17"/>
      <c r="AZ11" s="17">
        <f>SUMIFS($C11:$AM11,$C$5:$AM$5,"&lt;="&amp;AZ$5,$C$5:$AM$5,"&gt;"&amp;EOMONTH(AZ$5,-12))</f>
        <v>7382649</v>
      </c>
      <c r="BA11" s="17">
        <f>SUMIFS($C11:$AM11,$C$5:$AM$5,"&lt;="&amp;BA$5,$C$5:$AM$5,"&gt;"&amp;EOMONTH(BA$5,-12))</f>
        <v>9830748</v>
      </c>
    </row>
    <row r="12" spans="1:53" ht="12.9" x14ac:dyDescent="0.5">
      <c r="A12" s="13" t="s">
        <v>15</v>
      </c>
      <c r="B12" s="13"/>
      <c r="C12" s="14"/>
      <c r="D12" s="14"/>
      <c r="E12" s="14"/>
      <c r="F12" s="14"/>
      <c r="G12" s="14"/>
      <c r="H12" s="14"/>
      <c r="I12" s="14"/>
      <c r="J12" s="14"/>
      <c r="K12" s="14"/>
      <c r="L12" s="14"/>
      <c r="M12" s="14"/>
      <c r="N12" s="14"/>
      <c r="O12" s="14"/>
      <c r="P12" s="14">
        <v>2440</v>
      </c>
      <c r="Q12" s="14">
        <v>5892</v>
      </c>
      <c r="R12" s="14">
        <v>4521</v>
      </c>
      <c r="S12" s="14">
        <v>3456</v>
      </c>
      <c r="T12" s="14">
        <v>1849</v>
      </c>
      <c r="U12" s="14">
        <v>1224</v>
      </c>
      <c r="V12" s="14"/>
      <c r="W12" s="14"/>
      <c r="X12" s="14"/>
      <c r="Y12" s="14"/>
      <c r="Z12" s="14"/>
      <c r="AA12" s="14"/>
      <c r="AB12" s="14"/>
      <c r="AC12" s="14"/>
      <c r="AD12" s="14"/>
      <c r="AE12" s="15"/>
      <c r="AF12" s="15"/>
      <c r="AG12" s="15"/>
      <c r="AH12" s="15"/>
      <c r="AI12" s="15"/>
      <c r="AJ12" s="15"/>
      <c r="AK12" s="15"/>
      <c r="AL12" s="15"/>
      <c r="AM12" s="15"/>
      <c r="AN12" s="15"/>
      <c r="AO12" s="15"/>
      <c r="AP12" s="15"/>
      <c r="AQ12" s="15"/>
      <c r="AR12" s="15"/>
      <c r="AS12" s="15">
        <f t="shared" si="2"/>
        <v>12853</v>
      </c>
      <c r="AT12" s="15">
        <f t="shared" si="2"/>
        <v>6529</v>
      </c>
      <c r="AU12" s="15"/>
      <c r="AV12" s="15"/>
      <c r="AW12" s="15"/>
      <c r="AX12" s="15"/>
      <c r="AY12" s="15"/>
      <c r="AZ12" s="19"/>
      <c r="BA12" s="19"/>
    </row>
    <row r="13" spans="1:53" ht="12.9" x14ac:dyDescent="0.5">
      <c r="A13" s="7"/>
      <c r="B13" s="2"/>
      <c r="C13" s="20"/>
      <c r="D13" s="20"/>
      <c r="E13" s="20"/>
      <c r="F13" s="20"/>
      <c r="G13" s="20"/>
      <c r="H13" s="20"/>
      <c r="I13" s="20"/>
      <c r="J13" s="20"/>
      <c r="K13" s="20"/>
      <c r="L13" s="20"/>
      <c r="M13" s="20"/>
      <c r="N13" s="20"/>
      <c r="O13" s="20"/>
      <c r="P13" s="20"/>
      <c r="Q13" s="20"/>
      <c r="R13" s="20"/>
      <c r="S13" s="20"/>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row>
    <row r="14" spans="1:53" ht="12.9" x14ac:dyDescent="0.5">
      <c r="A14" s="13" t="s">
        <v>16</v>
      </c>
      <c r="B14" s="13"/>
      <c r="C14" s="21"/>
      <c r="D14" s="21"/>
      <c r="E14" s="21"/>
      <c r="F14" s="21"/>
      <c r="G14" s="21"/>
      <c r="H14" s="21"/>
      <c r="I14" s="21"/>
      <c r="J14" s="21"/>
      <c r="K14" s="21"/>
      <c r="L14" s="21"/>
      <c r="M14" s="21"/>
      <c r="N14" s="21"/>
      <c r="O14" s="21"/>
      <c r="P14" s="22">
        <v>12540</v>
      </c>
      <c r="Q14" s="22">
        <v>25027</v>
      </c>
      <c r="R14" s="22">
        <v>26152</v>
      </c>
      <c r="S14" s="22">
        <v>28000</v>
      </c>
      <c r="T14" s="23"/>
      <c r="U14" s="23"/>
      <c r="V14" s="23"/>
      <c r="W14" s="23"/>
      <c r="X14" s="23"/>
      <c r="Y14" s="23"/>
      <c r="Z14" s="23"/>
      <c r="AA14" s="23"/>
      <c r="AB14" s="23"/>
      <c r="AC14" s="23"/>
      <c r="AD14" s="22"/>
      <c r="AE14" s="23"/>
      <c r="AF14" s="23"/>
      <c r="AG14" s="23"/>
      <c r="AH14" s="23"/>
      <c r="AI14" s="23"/>
      <c r="AJ14" s="23"/>
      <c r="AK14" s="23"/>
      <c r="AL14" s="23"/>
      <c r="AM14" s="23"/>
      <c r="AN14" s="23"/>
      <c r="AO14" s="23"/>
      <c r="AP14" s="23"/>
      <c r="AQ14" s="23"/>
      <c r="AR14" s="23"/>
      <c r="AS14" s="23"/>
      <c r="AT14" s="23"/>
      <c r="AU14" s="23"/>
      <c r="AV14" s="23"/>
      <c r="AW14" s="23"/>
      <c r="AX14" s="23"/>
      <c r="AY14" s="23"/>
      <c r="AZ14" s="23"/>
      <c r="BA14" s="23"/>
    </row>
    <row r="15" spans="1:53" ht="12.9" x14ac:dyDescent="0.5">
      <c r="A15" s="13" t="s">
        <v>15</v>
      </c>
      <c r="B15" s="13"/>
      <c r="C15" s="21"/>
      <c r="D15" s="21"/>
      <c r="E15" s="21"/>
      <c r="F15" s="21"/>
      <c r="G15" s="21"/>
      <c r="H15" s="21"/>
      <c r="I15" s="21"/>
      <c r="J15" s="21"/>
      <c r="K15" s="21"/>
      <c r="L15" s="21"/>
      <c r="M15" s="21"/>
      <c r="N15" s="13"/>
      <c r="O15" s="13"/>
      <c r="P15" s="24">
        <f>P12</f>
        <v>2440</v>
      </c>
      <c r="Q15" s="24">
        <f>Q12</f>
        <v>5892</v>
      </c>
      <c r="R15" s="24">
        <f>R12</f>
        <v>4521</v>
      </c>
      <c r="S15" s="24">
        <f>S12</f>
        <v>3456</v>
      </c>
      <c r="T15" s="23"/>
      <c r="U15" s="23"/>
      <c r="V15" s="23"/>
      <c r="W15" s="23"/>
      <c r="X15" s="23"/>
      <c r="Y15" s="23"/>
      <c r="Z15" s="23"/>
      <c r="AA15" s="23"/>
      <c r="AB15" s="23"/>
      <c r="AC15" s="23"/>
      <c r="AD15" s="24"/>
      <c r="AE15" s="23"/>
      <c r="AF15" s="23"/>
      <c r="AG15" s="23"/>
      <c r="AH15" s="23"/>
      <c r="AI15" s="23"/>
      <c r="AJ15" s="23"/>
      <c r="AK15" s="23"/>
      <c r="AL15" s="23"/>
      <c r="AM15" s="23"/>
      <c r="AN15" s="23"/>
      <c r="AO15" s="23"/>
      <c r="AP15" s="23"/>
      <c r="AQ15" s="23"/>
      <c r="AR15" s="23"/>
      <c r="AS15" s="23"/>
      <c r="AT15" s="23"/>
      <c r="AU15" s="23"/>
      <c r="AV15" s="23"/>
      <c r="AW15" s="23"/>
      <c r="AX15" s="23"/>
      <c r="AY15" s="23"/>
      <c r="AZ15" s="23"/>
      <c r="BA15" s="23"/>
    </row>
    <row r="16" spans="1:53" ht="12.9" x14ac:dyDescent="0.5">
      <c r="A16" s="7"/>
      <c r="B16" s="2"/>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25"/>
      <c r="AL16" s="25"/>
      <c r="AM16" s="25"/>
      <c r="AN16" s="25"/>
      <c r="AO16" s="7"/>
      <c r="AP16" s="7"/>
      <c r="AQ16" s="7"/>
      <c r="AR16" s="7"/>
      <c r="AS16" s="7"/>
      <c r="AT16" s="7"/>
      <c r="AU16" s="7"/>
      <c r="AV16" s="7"/>
      <c r="AW16" s="7"/>
      <c r="AX16" s="7"/>
      <c r="AY16" s="7"/>
      <c r="AZ16" s="7"/>
      <c r="BA16" s="7"/>
    </row>
    <row r="17" spans="1:53" ht="12.9" x14ac:dyDescent="0.5">
      <c r="A17" s="2" t="s">
        <v>17</v>
      </c>
      <c r="B17" s="2"/>
      <c r="C17" s="12">
        <f>'[23]GAAP IS'!C24</f>
        <v>74285</v>
      </c>
      <c r="D17" s="12">
        <f>'[23]GAAP IS'!D24</f>
        <v>90342</v>
      </c>
      <c r="E17" s="12">
        <f>'[23]GAAP IS'!E24</f>
        <v>96310</v>
      </c>
      <c r="F17" s="12">
        <f>'[23]GAAP IS'!F24</f>
        <v>109093</v>
      </c>
      <c r="G17" s="12">
        <f>'[23]GAAP IS'!G24</f>
        <v>110240</v>
      </c>
      <c r="H17" s="12">
        <f>'[23]GAAP IS'!H24</f>
        <v>148959</v>
      </c>
      <c r="I17" s="12">
        <f>'[23]GAAP IS'!I24</f>
        <v>150314</v>
      </c>
      <c r="J17" s="12">
        <f>'[23]GAAP IS'!J24</f>
        <v>166525</v>
      </c>
      <c r="K17" s="12">
        <f>'[23]GAAP IS'!K24</f>
        <v>173431</v>
      </c>
      <c r="L17" s="12">
        <f>'[23]GAAP IS'!L24</f>
        <v>207429</v>
      </c>
      <c r="M17" s="12">
        <f>'[23]GAAP IS'!M24</f>
        <v>218616</v>
      </c>
      <c r="N17" s="12">
        <f>'[23]GAAP IS'!N24</f>
        <v>239830</v>
      </c>
      <c r="O17" s="12">
        <f>'[23]GAAP IS'!O24</f>
        <v>255170</v>
      </c>
      <c r="P17" s="12">
        <f>'[23]GAAP IS'!P24</f>
        <v>315816</v>
      </c>
      <c r="Q17" s="12">
        <f>'[23]GAAP IS'!Q24</f>
        <v>352660</v>
      </c>
      <c r="R17" s="12">
        <f>'[23]GAAP IS'!R24</f>
        <v>380054</v>
      </c>
      <c r="S17" s="12">
        <f>'[23]GAAP IS'!S24</f>
        <v>396754</v>
      </c>
      <c r="T17" s="12">
        <f>'[23]GAAP IS'!T24</f>
        <v>465845</v>
      </c>
      <c r="U17" s="12">
        <f>'[23]GAAP IS'!U24</f>
        <v>500037</v>
      </c>
      <c r="V17" s="12">
        <f>'[23]GAAP IS'!V24</f>
        <v>527049</v>
      </c>
      <c r="W17" s="12">
        <f>'[23]GAAP IS'!W24</f>
        <v>538501</v>
      </c>
      <c r="X17" s="12">
        <f>'[23]GAAP IS'!X24</f>
        <v>596763</v>
      </c>
      <c r="Y17" s="12">
        <f>'[23]GAAP IS'!Y24</f>
        <v>794455</v>
      </c>
      <c r="Z17" s="12">
        <f>'[23]GAAP IS'!Z24</f>
        <v>803690</v>
      </c>
      <c r="AA17" s="12">
        <f>'[23]GAAP IS'!AA24</f>
        <v>963500</v>
      </c>
      <c r="AB17" s="12">
        <f>'[23]GAAP IS'!AB24</f>
        <v>1141065</v>
      </c>
      <c r="AC17" s="12">
        <f>'[23]GAAP IS'!AC24</f>
        <v>1133215</v>
      </c>
      <c r="AD17" s="12">
        <f>'[23]GAAP IS'!AD24</f>
        <v>1182042</v>
      </c>
      <c r="AE17" s="12">
        <f>'[23]GAAP IS'!AE24</f>
        <v>1294960</v>
      </c>
      <c r="AF17" s="12">
        <f>'[23]GAAP IS'!AF24</f>
        <v>1469648</v>
      </c>
      <c r="AG17" s="12">
        <f>'[23]GAAP IS'!AG24</f>
        <v>1567089</v>
      </c>
      <c r="AH17" s="12">
        <f>'[23]GAAP IS'!AH24</f>
        <v>1660195</v>
      </c>
      <c r="AI17" s="12">
        <f>'[23]GAAP IS'!AI24</f>
        <v>1714584</v>
      </c>
      <c r="AJ17" s="12">
        <f>'[23]GAAP IS'!AJ24</f>
        <v>1866101</v>
      </c>
      <c r="AK17" s="12">
        <f>'[23]GAAP IS'!AK24</f>
        <v>1898449</v>
      </c>
      <c r="AL17" s="12">
        <f>'[23]GAAP IS'!AL24</f>
        <v>2025752</v>
      </c>
      <c r="AM17" s="12">
        <f>'[23]GAAP IS'!AM24</f>
        <v>2094473</v>
      </c>
      <c r="AN17" s="12">
        <v>2233480</v>
      </c>
      <c r="AO17" s="12"/>
      <c r="AP17" s="12">
        <f>SUMIFS($C17:$V17,$C$7:$V$7,AP$7)</f>
        <v>370030</v>
      </c>
      <c r="AQ17" s="12">
        <f>SUMIFS($C17:$V17,$C$7:$V$7,AQ$7)</f>
        <v>576038</v>
      </c>
      <c r="AR17" s="12">
        <f>SUMIFS($C17:$V17,$C$7:$V$7,AR$7)</f>
        <v>839306</v>
      </c>
      <c r="AS17" s="12">
        <f>SUMIFS($C17:$V17,$C$7:$V$7,AS$7)</f>
        <v>1303700</v>
      </c>
      <c r="AT17" s="12">
        <f>SUMIFS($C17:$V17,$C$7:$V$7,AT$7)</f>
        <v>1889685</v>
      </c>
      <c r="AU17" s="12">
        <f>SUMIFS($C17:$Z17,$C$7:$Z$7,AU$7)</f>
        <v>2733409</v>
      </c>
      <c r="AV17" s="12">
        <f>SUMIFS($C17:$AD17,$C$7:$AD$7,AV$7)</f>
        <v>4419822</v>
      </c>
      <c r="AW17" s="12">
        <f>SUMIFS($C17:$AH17,$C$7:$AH$7,AW$7)</f>
        <v>5991892</v>
      </c>
      <c r="AX17" s="12">
        <f>SUMIFS($C17:$AL17,$C$7:$AL$7,AX$7)</f>
        <v>7504886</v>
      </c>
      <c r="AY17" s="12"/>
      <c r="AZ17" s="12">
        <f>SUMIFS($C17:$AM17,$C$5:$AM$5,"&lt;="&amp;AZ$5,$C$5:$AM$5,"&gt;"&amp;EOMONTH(AZ$5,-12))</f>
        <v>6411516</v>
      </c>
      <c r="BA17" s="12">
        <f>SUMIFS($C17:$AM17,$C$5:$AM$5,"&lt;="&amp;BA$5,$C$5:$AM$5,"&gt;"&amp;EOMONTH(BA$5,-12))</f>
        <v>7884775</v>
      </c>
    </row>
    <row r="18" spans="1:53" ht="12.9" x14ac:dyDescent="0.5">
      <c r="A18" s="2"/>
      <c r="B18" s="2"/>
      <c r="C18" s="2"/>
      <c r="D18" s="2"/>
      <c r="E18" s="2"/>
      <c r="F18" s="2"/>
      <c r="G18" s="2"/>
      <c r="H18" s="2"/>
      <c r="I18" s="2"/>
      <c r="J18" s="2"/>
      <c r="K18" s="2"/>
      <c r="L18" s="2"/>
      <c r="M18" s="2"/>
      <c r="N18" s="2"/>
      <c r="O18" s="2"/>
      <c r="P18" s="2"/>
      <c r="Q18" s="2"/>
      <c r="R18" s="2"/>
      <c r="S18" s="26"/>
      <c r="T18" s="2"/>
      <c r="U18" s="2"/>
      <c r="V18" s="2"/>
      <c r="W18" s="2"/>
      <c r="X18" s="2"/>
      <c r="Y18" s="2"/>
      <c r="Z18" s="2"/>
      <c r="AA18" s="2"/>
      <c r="AB18" s="2"/>
      <c r="AC18" s="2"/>
      <c r="AD18" s="2"/>
      <c r="AE18" s="2"/>
      <c r="AF18" s="27"/>
      <c r="AG18" s="27"/>
      <c r="AH18" s="27"/>
      <c r="AI18" s="27"/>
      <c r="AJ18" s="27"/>
      <c r="AK18" s="27"/>
      <c r="AL18" s="27"/>
      <c r="AM18" s="27"/>
      <c r="AN18" s="27"/>
      <c r="AO18" s="2"/>
      <c r="AP18" s="2"/>
      <c r="AQ18" s="2"/>
      <c r="AR18" s="2"/>
      <c r="AS18" s="2"/>
      <c r="AT18" s="2"/>
      <c r="AU18" s="2"/>
      <c r="AY18" s="2"/>
    </row>
    <row r="19" spans="1:53" ht="12.9" x14ac:dyDescent="0.5">
      <c r="A19" s="2" t="s">
        <v>18</v>
      </c>
      <c r="B19" s="2"/>
      <c r="C19" s="12">
        <f>'[23]GAAP IS'!C33</f>
        <v>120635</v>
      </c>
      <c r="D19" s="12">
        <f>'[23]GAAP IS'!D33</f>
        <v>118416</v>
      </c>
      <c r="E19" s="12">
        <f>'[23]GAAP IS'!E33</f>
        <v>148527</v>
      </c>
      <c r="F19" s="12">
        <f>'[23]GAAP IS'!F33</f>
        <v>156910</v>
      </c>
      <c r="G19" s="12">
        <f>'[23]GAAP IS'!G33</f>
        <v>207373</v>
      </c>
      <c r="H19" s="12">
        <f>'[23]GAAP IS'!H33</f>
        <v>176319</v>
      </c>
      <c r="I19" s="12">
        <f>'[23]GAAP IS'!I33</f>
        <v>182296</v>
      </c>
      <c r="J19" s="12">
        <f>'[23]GAAP IS'!J33</f>
        <v>180503</v>
      </c>
      <c r="K19" s="12">
        <f>'[23]GAAP IS'!K33</f>
        <v>187513</v>
      </c>
      <c r="L19" s="12">
        <f>'[23]GAAP IS'!L33</f>
        <v>219653</v>
      </c>
      <c r="M19" s="12">
        <f>'[23]GAAP IS'!M33</f>
        <v>233507</v>
      </c>
      <c r="N19" s="12">
        <f>'[23]GAAP IS'!N33</f>
        <v>252839</v>
      </c>
      <c r="O19" s="12">
        <f>'[23]GAAP IS'!O33</f>
        <v>276162</v>
      </c>
      <c r="P19" s="12">
        <f>'[23]GAAP IS'!P33</f>
        <v>318463</v>
      </c>
      <c r="Q19" s="12">
        <f>'[23]GAAP IS'!Q33</f>
        <v>362527</v>
      </c>
      <c r="R19" s="12">
        <f>'[23]GAAP IS'!R33</f>
        <v>383162</v>
      </c>
      <c r="S19" s="12">
        <f>'[23]GAAP IS'!S33</f>
        <v>418796</v>
      </c>
      <c r="T19" s="12">
        <f>'[23]GAAP IS'!T33</f>
        <v>466688</v>
      </c>
      <c r="U19" s="12">
        <f>'[23]GAAP IS'!U33</f>
        <v>467943</v>
      </c>
      <c r="V19" s="12">
        <f>'[23]GAAP IS'!V33</f>
        <v>509701</v>
      </c>
      <c r="W19" s="12">
        <f>'[23]GAAP IS'!W33</f>
        <v>628789</v>
      </c>
      <c r="X19" s="12">
        <f>'[23]GAAP IS'!X33</f>
        <v>619815</v>
      </c>
      <c r="Y19" s="12">
        <f>'[23]GAAP IS'!Y33</f>
        <v>745113</v>
      </c>
      <c r="Z19" s="12">
        <f>'[23]GAAP IS'!Z33</f>
        <v>758507</v>
      </c>
      <c r="AA19" s="12">
        <f>'[23]GAAP IS'!AA33</f>
        <v>895766</v>
      </c>
      <c r="AB19" s="12">
        <f>'[23]GAAP IS'!AB33</f>
        <v>1016069</v>
      </c>
      <c r="AC19" s="12">
        <f>'[23]GAAP IS'!AC33</f>
        <v>1110219</v>
      </c>
      <c r="AD19" s="12">
        <f>'[23]GAAP IS'!AD33</f>
        <v>1236657</v>
      </c>
      <c r="AE19" s="12">
        <f>'[23]GAAP IS'!AE33</f>
        <v>1521749</v>
      </c>
      <c r="AF19" s="12">
        <f>'[23]GAAP IS'!AF33</f>
        <v>1683421</v>
      </c>
      <c r="AG19" s="12">
        <f>'[23]GAAP IS'!AG33</f>
        <v>1615878</v>
      </c>
      <c r="AH19" s="12">
        <f>'[23]GAAP IS'!AH33</f>
        <v>1795376</v>
      </c>
      <c r="AI19" s="12">
        <f>'[23]GAAP IS'!AI33</f>
        <v>1720756</v>
      </c>
      <c r="AJ19" s="12">
        <f>'[23]GAAP IS'!AJ33</f>
        <v>1998208</v>
      </c>
      <c r="AK19" s="12">
        <f>'[23]GAAP IS'!AK33</f>
        <v>1908357</v>
      </c>
      <c r="AL19" s="12">
        <f>'[23]GAAP IS'!AL33</f>
        <v>2156404</v>
      </c>
      <c r="AM19" s="12">
        <f>'[23]GAAP IS'!AM33</f>
        <v>1844730</v>
      </c>
      <c r="AN19" s="12">
        <v>1926918</v>
      </c>
      <c r="AO19" s="12"/>
      <c r="AP19" s="12">
        <f t="shared" ref="AP19:AT22" si="3">SUMIFS($C19:$V19,$C$7:$V$7,AP$7)</f>
        <v>544488</v>
      </c>
      <c r="AQ19" s="12">
        <f t="shared" si="3"/>
        <v>746491</v>
      </c>
      <c r="AR19" s="12">
        <f t="shared" si="3"/>
        <v>893512</v>
      </c>
      <c r="AS19" s="12">
        <f t="shared" si="3"/>
        <v>1340314</v>
      </c>
      <c r="AT19" s="12">
        <f t="shared" si="3"/>
        <v>1863128</v>
      </c>
      <c r="AU19" s="12">
        <f>SUMIFS($C19:$Z19,$C$7:$Z$7,AU$7)</f>
        <v>2752224</v>
      </c>
      <c r="AV19" s="12">
        <f>SUMIFS($C19:$AD19,$C$7:$AD$7,AV$7)</f>
        <v>4258711</v>
      </c>
      <c r="AW19" s="12">
        <f>SUMIFS($C19:$AH19,$C$7:$AH$7,AW$7)</f>
        <v>6616424</v>
      </c>
      <c r="AX19" s="12">
        <f>SUMIFS($C19:$AL19,$C$7:$AL$7,AX$7)</f>
        <v>7783725</v>
      </c>
      <c r="AY19" s="12"/>
      <c r="AZ19" s="12">
        <f t="shared" ref="AZ19:BA29" si="4">SUMIFS($C19:$AM19,$C$5:$AM$5,"&lt;="&amp;AZ$5,$C$5:$AM$5,"&gt;"&amp;EOMONTH(AZ$5,-12))</f>
        <v>6815431</v>
      </c>
      <c r="BA19" s="12">
        <f t="shared" si="4"/>
        <v>7907699</v>
      </c>
    </row>
    <row r="20" spans="1:53" ht="12.9" x14ac:dyDescent="0.5">
      <c r="A20" s="2" t="s">
        <v>19</v>
      </c>
      <c r="B20" s="28"/>
      <c r="C20" s="29">
        <v>13461</v>
      </c>
      <c r="D20" s="29">
        <v>15232</v>
      </c>
      <c r="E20" s="29">
        <v>20793</v>
      </c>
      <c r="F20" s="29">
        <v>32806</v>
      </c>
      <c r="G20" s="29">
        <v>31198</v>
      </c>
      <c r="H20" s="29">
        <v>36922</v>
      </c>
      <c r="I20" s="29">
        <v>36779</v>
      </c>
      <c r="J20" s="29">
        <v>33887</v>
      </c>
      <c r="K20" s="29">
        <v>31670</v>
      </c>
      <c r="L20" s="29">
        <v>39575</v>
      </c>
      <c r="M20" s="29">
        <v>40019</v>
      </c>
      <c r="N20" s="29">
        <v>44495</v>
      </c>
      <c r="O20" s="29">
        <v>46793</v>
      </c>
      <c r="P20" s="29">
        <v>52089</v>
      </c>
      <c r="Q20" s="29">
        <v>58895</v>
      </c>
      <c r="R20" s="29">
        <v>59007</v>
      </c>
      <c r="S20" s="29">
        <v>61067</v>
      </c>
      <c r="T20" s="29">
        <v>79437</v>
      </c>
      <c r="U20" s="29">
        <v>77388</v>
      </c>
      <c r="V20" s="29">
        <v>79816</v>
      </c>
      <c r="W20" s="29">
        <v>77227</v>
      </c>
      <c r="X20" s="29">
        <v>96085</v>
      </c>
      <c r="Y20" s="29">
        <v>110289</v>
      </c>
      <c r="Z20" s="29">
        <v>113531</v>
      </c>
      <c r="AA20" s="29">
        <v>118524</v>
      </c>
      <c r="AB20" s="29">
        <v>146253</v>
      </c>
      <c r="AC20" s="29">
        <v>164912</v>
      </c>
      <c r="AD20" s="29">
        <v>177943</v>
      </c>
      <c r="AE20" s="29">
        <v>275314</v>
      </c>
      <c r="AF20" s="29">
        <v>256499</v>
      </c>
      <c r="AG20" s="29">
        <v>262629</v>
      </c>
      <c r="AH20" s="29">
        <v>274353</v>
      </c>
      <c r="AI20" s="29">
        <v>279449</v>
      </c>
      <c r="AJ20" s="29">
        <v>319106</v>
      </c>
      <c r="AK20" s="29">
        <v>345547</v>
      </c>
      <c r="AL20" s="29">
        <v>331394</v>
      </c>
      <c r="AM20" s="29">
        <v>304358</v>
      </c>
      <c r="AN20" s="29">
        <v>320187</v>
      </c>
      <c r="AO20" s="30"/>
      <c r="AP20" s="17">
        <f t="shared" si="3"/>
        <v>82292</v>
      </c>
      <c r="AQ20" s="17">
        <f t="shared" si="3"/>
        <v>138786</v>
      </c>
      <c r="AR20" s="17">
        <f t="shared" si="3"/>
        <v>155759</v>
      </c>
      <c r="AS20" s="17">
        <f t="shared" si="3"/>
        <v>216784</v>
      </c>
      <c r="AT20" s="17">
        <f t="shared" si="3"/>
        <v>297708</v>
      </c>
      <c r="AU20" s="17">
        <f>SUMIFS($C20:$Z20,$C$7:$Z$7,AU$7)</f>
        <v>397132</v>
      </c>
      <c r="AV20" s="17">
        <f>SUMIFS($C20:$AD20,$C$7:$AD$7,AV$7)</f>
        <v>607632</v>
      </c>
      <c r="AW20" s="17">
        <f>SUMIFS($C20:$AH20,$C$7:$AH$7,AW$7)</f>
        <v>1068795</v>
      </c>
      <c r="AX20" s="17">
        <f>SUMIFS($C20:$AL20,$C$7:$AL$7,AX$7)</f>
        <v>1275496</v>
      </c>
      <c r="AY20" s="17"/>
      <c r="AZ20" s="17">
        <f t="shared" si="4"/>
        <v>1072930</v>
      </c>
      <c r="BA20" s="17">
        <f t="shared" si="4"/>
        <v>1300405</v>
      </c>
    </row>
    <row r="21" spans="1:53" ht="12.9" x14ac:dyDescent="0.5">
      <c r="A21" s="2" t="s">
        <v>20</v>
      </c>
      <c r="B21" s="28"/>
      <c r="C21" s="29">
        <v>4943</v>
      </c>
      <c r="D21" s="29">
        <v>5268</v>
      </c>
      <c r="E21" s="29">
        <v>5428</v>
      </c>
      <c r="F21" s="29">
        <v>5165</v>
      </c>
      <c r="G21" s="29">
        <v>6189</v>
      </c>
      <c r="H21" s="29">
        <v>6573</v>
      </c>
      <c r="I21" s="29">
        <v>7230</v>
      </c>
      <c r="J21" s="29">
        <v>7544</v>
      </c>
      <c r="K21" s="29">
        <v>7531</v>
      </c>
      <c r="L21" s="29">
        <v>7400</v>
      </c>
      <c r="M21" s="29">
        <v>7498</v>
      </c>
      <c r="N21" s="29">
        <v>8115</v>
      </c>
      <c r="O21" s="29">
        <v>8580</v>
      </c>
      <c r="P21" s="29">
        <v>10242</v>
      </c>
      <c r="Q21" s="29">
        <v>13215</v>
      </c>
      <c r="R21" s="29">
        <v>20754</v>
      </c>
      <c r="S21" s="29">
        <v>17236</v>
      </c>
      <c r="T21" s="29">
        <v>16873</v>
      </c>
      <c r="U21" s="29">
        <v>17084</v>
      </c>
      <c r="V21" s="29">
        <v>16691</v>
      </c>
      <c r="W21" s="29">
        <v>17635</v>
      </c>
      <c r="X21" s="29">
        <f>18788</f>
        <v>18788</v>
      </c>
      <c r="Y21" s="29">
        <v>17507</v>
      </c>
      <c r="Z21" s="29">
        <v>18966</v>
      </c>
      <c r="AA21" s="29">
        <v>24901</v>
      </c>
      <c r="AB21" s="29">
        <v>22989</v>
      </c>
      <c r="AC21" s="29">
        <v>31760</v>
      </c>
      <c r="AD21" s="29">
        <v>32461</v>
      </c>
      <c r="AE21" s="29">
        <v>54587</v>
      </c>
      <c r="AF21" s="29">
        <v>72715</v>
      </c>
      <c r="AG21" s="29">
        <v>69500</v>
      </c>
      <c r="AH21" s="29">
        <v>71874</v>
      </c>
      <c r="AI21" s="29">
        <v>73951</v>
      </c>
      <c r="AJ21" s="29">
        <v>74961</v>
      </c>
      <c r="AK21" s="29">
        <v>96446</v>
      </c>
      <c r="AL21" s="29">
        <v>86308</v>
      </c>
      <c r="AM21" s="29">
        <v>79135</v>
      </c>
      <c r="AN21" s="29">
        <v>78836</v>
      </c>
      <c r="AO21" s="30"/>
      <c r="AP21" s="17">
        <f t="shared" si="3"/>
        <v>20804</v>
      </c>
      <c r="AQ21" s="17">
        <f t="shared" si="3"/>
        <v>27536</v>
      </c>
      <c r="AR21" s="17">
        <f t="shared" si="3"/>
        <v>30544</v>
      </c>
      <c r="AS21" s="17">
        <f t="shared" si="3"/>
        <v>52791</v>
      </c>
      <c r="AT21" s="17">
        <f t="shared" si="3"/>
        <v>67884</v>
      </c>
      <c r="AU21" s="17">
        <f>SUMIFS($C21:$Z21,$C$7:$Z$7,AU$7)</f>
        <v>72896</v>
      </c>
      <c r="AV21" s="17">
        <f>SUMIFS($C21:$AD21,$C$7:$AD$7,AV$7)</f>
        <v>112111</v>
      </c>
      <c r="AW21" s="17">
        <f>SUMIFS($C21:$AH21,$C$7:$AH$7,AW$7)</f>
        <v>268676</v>
      </c>
      <c r="AX21" s="17">
        <f>SUMIFS($C21:$AL21,$C$7:$AL$7,AX$7)</f>
        <v>331666</v>
      </c>
      <c r="AY21" s="17"/>
      <c r="AZ21" s="17">
        <f t="shared" si="4"/>
        <v>288040</v>
      </c>
      <c r="BA21" s="17">
        <f t="shared" si="4"/>
        <v>336850</v>
      </c>
    </row>
    <row r="22" spans="1:53" ht="12.9" x14ac:dyDescent="0.5">
      <c r="A22" s="2" t="s">
        <v>21</v>
      </c>
      <c r="B22" s="28"/>
      <c r="C22" s="29"/>
      <c r="D22" s="29"/>
      <c r="E22" s="29"/>
      <c r="F22" s="29"/>
      <c r="G22" s="29"/>
      <c r="H22" s="29"/>
      <c r="I22" s="29"/>
      <c r="J22" s="29"/>
      <c r="K22" s="29"/>
      <c r="L22" s="29"/>
      <c r="M22" s="29"/>
      <c r="N22" s="29"/>
      <c r="O22" s="29"/>
      <c r="P22" s="29">
        <v>4363</v>
      </c>
      <c r="Q22" s="29">
        <v>345</v>
      </c>
      <c r="R22" s="29"/>
      <c r="S22" s="29">
        <v>782</v>
      </c>
      <c r="T22" s="29">
        <v>6133</v>
      </c>
      <c r="U22" s="29">
        <v>1564</v>
      </c>
      <c r="V22" s="29">
        <v>1260</v>
      </c>
      <c r="W22" s="29">
        <v>1524</v>
      </c>
      <c r="X22" s="29">
        <v>2056</v>
      </c>
      <c r="Y22" s="29">
        <v>359</v>
      </c>
      <c r="Z22" s="29">
        <v>3543</v>
      </c>
      <c r="AA22" s="29">
        <v>26</v>
      </c>
      <c r="AB22" s="29">
        <v>14292</v>
      </c>
      <c r="AC22" s="29">
        <v>308</v>
      </c>
      <c r="AD22" s="29">
        <v>20848</v>
      </c>
      <c r="AE22" s="29">
        <v>76065</v>
      </c>
      <c r="AF22" s="29">
        <v>17067</v>
      </c>
      <c r="AG22" s="29">
        <v>23470</v>
      </c>
      <c r="AH22" s="29">
        <v>40662</v>
      </c>
      <c r="AI22" s="29">
        <v>1551</v>
      </c>
      <c r="AJ22" s="29">
        <v>102349</v>
      </c>
      <c r="AK22" s="29">
        <v>24812</v>
      </c>
      <c r="AL22" s="29">
        <v>5118</v>
      </c>
      <c r="AM22" s="29">
        <v>32512</v>
      </c>
      <c r="AN22" s="29">
        <v>15350</v>
      </c>
      <c r="AO22" s="17"/>
      <c r="AP22" s="17">
        <f t="shared" si="3"/>
        <v>0</v>
      </c>
      <c r="AQ22" s="17">
        <f t="shared" si="3"/>
        <v>0</v>
      </c>
      <c r="AR22" s="17">
        <f t="shared" si="3"/>
        <v>0</v>
      </c>
      <c r="AS22" s="17">
        <f t="shared" si="3"/>
        <v>4708</v>
      </c>
      <c r="AT22" s="17">
        <f t="shared" si="3"/>
        <v>9739</v>
      </c>
      <c r="AU22" s="17">
        <f>SUMIFS($C22:$Z22,$C$7:$Z$7,AU$7)</f>
        <v>7482</v>
      </c>
      <c r="AV22" s="17">
        <f>SUMIFS($C22:$AD22,$C$7:$AD$7,AV$7)</f>
        <v>35474</v>
      </c>
      <c r="AW22" s="17">
        <f>SUMIFS($C22:$AH22,$C$7:$AH$7,AW$7)</f>
        <v>157264</v>
      </c>
      <c r="AX22" s="17">
        <f>SUMIFS($C22:$AL22,$C$7:$AL$7,AX$7)</f>
        <v>133830</v>
      </c>
      <c r="AY22" s="17"/>
      <c r="AZ22" s="17">
        <f t="shared" si="4"/>
        <v>82750</v>
      </c>
      <c r="BA22" s="17">
        <f t="shared" si="4"/>
        <v>164791</v>
      </c>
    </row>
    <row r="23" spans="1:53" ht="12.9" x14ac:dyDescent="0.5">
      <c r="A23" s="31" t="s">
        <v>22</v>
      </c>
      <c r="B23" s="28"/>
      <c r="C23" s="29"/>
      <c r="D23" s="29"/>
      <c r="E23" s="29"/>
      <c r="F23" s="29"/>
      <c r="G23" s="29"/>
      <c r="H23" s="29"/>
      <c r="I23" s="29"/>
      <c r="J23" s="29"/>
      <c r="K23" s="29"/>
      <c r="L23" s="29"/>
      <c r="M23" s="29"/>
      <c r="N23" s="29"/>
      <c r="O23" s="29"/>
      <c r="P23" s="29"/>
      <c r="Q23" s="29"/>
      <c r="R23" s="29"/>
      <c r="S23" s="29"/>
      <c r="T23" s="29"/>
      <c r="U23" s="29"/>
      <c r="V23" s="29"/>
      <c r="W23" s="29"/>
      <c r="X23" s="29"/>
      <c r="Y23" s="29"/>
      <c r="Z23" s="29"/>
      <c r="AA23" s="29">
        <v>0</v>
      </c>
      <c r="AB23" s="29">
        <v>0</v>
      </c>
      <c r="AC23" s="29">
        <v>0</v>
      </c>
      <c r="AD23" s="29">
        <v>0</v>
      </c>
      <c r="AE23" s="29">
        <v>0</v>
      </c>
      <c r="AF23" s="29">
        <v>0</v>
      </c>
      <c r="AG23" s="29">
        <v>0</v>
      </c>
      <c r="AH23" s="29">
        <v>0</v>
      </c>
      <c r="AI23" s="29">
        <v>0</v>
      </c>
      <c r="AJ23" s="29">
        <v>0</v>
      </c>
      <c r="AK23" s="29">
        <v>0</v>
      </c>
      <c r="AL23" s="29">
        <v>117174</v>
      </c>
      <c r="AM23" s="29">
        <f>14063</f>
        <v>14063</v>
      </c>
      <c r="AN23" s="29">
        <v>18804</v>
      </c>
      <c r="AO23" s="17"/>
      <c r="AP23" s="17"/>
      <c r="AQ23" s="17"/>
      <c r="AR23" s="17"/>
      <c r="AS23" s="17"/>
      <c r="AT23" s="17"/>
      <c r="AU23" s="17"/>
      <c r="AV23" s="17"/>
      <c r="AW23" s="17"/>
      <c r="AX23" s="17">
        <f>SUMIFS($C23:$AL23,$C$7:$AL$7,AX$7)</f>
        <v>117174</v>
      </c>
      <c r="AY23" s="17"/>
      <c r="AZ23" s="17">
        <f t="shared" si="4"/>
        <v>0</v>
      </c>
      <c r="BA23" s="17">
        <f t="shared" si="4"/>
        <v>131237</v>
      </c>
    </row>
    <row r="24" spans="1:53" ht="12.9" x14ac:dyDescent="0.5">
      <c r="A24" s="2" t="s">
        <v>23</v>
      </c>
      <c r="B24" s="28"/>
      <c r="C24" s="29"/>
      <c r="D24" s="29"/>
      <c r="E24" s="29"/>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29">
        <v>6637</v>
      </c>
      <c r="AN24" s="29">
        <v>0</v>
      </c>
      <c r="AO24" s="17"/>
      <c r="AP24" s="17"/>
      <c r="AQ24" s="17"/>
      <c r="AR24" s="17"/>
      <c r="AS24" s="17"/>
      <c r="AT24" s="17"/>
      <c r="AU24" s="17"/>
      <c r="AV24" s="17"/>
      <c r="AW24" s="17"/>
      <c r="AX24" s="17"/>
      <c r="AY24" s="17"/>
      <c r="AZ24" s="17">
        <f t="shared" si="4"/>
        <v>0</v>
      </c>
      <c r="BA24" s="17">
        <f t="shared" si="4"/>
        <v>6637</v>
      </c>
    </row>
    <row r="25" spans="1:53" ht="12.9" x14ac:dyDescent="0.5">
      <c r="A25" s="31" t="s">
        <v>24</v>
      </c>
      <c r="B25" s="28"/>
      <c r="C25" s="29"/>
      <c r="D25" s="29"/>
      <c r="E25" s="29"/>
      <c r="F25" s="29"/>
      <c r="G25" s="29"/>
      <c r="H25" s="29"/>
      <c r="I25" s="29"/>
      <c r="J25" s="29"/>
      <c r="K25" s="29"/>
      <c r="L25" s="29"/>
      <c r="M25" s="29"/>
      <c r="N25" s="29"/>
      <c r="O25" s="29"/>
      <c r="P25" s="29"/>
      <c r="Q25" s="29"/>
      <c r="R25" s="29"/>
      <c r="S25" s="29"/>
      <c r="T25" s="29"/>
      <c r="U25" s="29"/>
      <c r="V25" s="29"/>
      <c r="W25" s="29"/>
      <c r="X25" s="29"/>
      <c r="Y25" s="29"/>
      <c r="Z25" s="29"/>
      <c r="AA25" s="29">
        <v>0</v>
      </c>
      <c r="AB25" s="29">
        <v>0</v>
      </c>
      <c r="AC25" s="29">
        <v>0</v>
      </c>
      <c r="AD25" s="29">
        <v>0</v>
      </c>
      <c r="AE25" s="29">
        <v>0</v>
      </c>
      <c r="AF25" s="29">
        <v>0</v>
      </c>
      <c r="AG25" s="29">
        <v>0</v>
      </c>
      <c r="AH25" s="29">
        <v>0</v>
      </c>
      <c r="AI25" s="29">
        <v>0</v>
      </c>
      <c r="AJ25" s="29">
        <v>0</v>
      </c>
      <c r="AK25" s="29">
        <v>0</v>
      </c>
      <c r="AL25" s="29">
        <v>132313</v>
      </c>
      <c r="AM25" s="29">
        <v>0</v>
      </c>
      <c r="AN25" s="29">
        <v>0</v>
      </c>
      <c r="AO25" s="17"/>
      <c r="AP25" s="17"/>
      <c r="AQ25" s="17"/>
      <c r="AR25" s="17"/>
      <c r="AS25" s="17"/>
      <c r="AT25" s="17"/>
      <c r="AU25" s="17"/>
      <c r="AV25" s="17"/>
      <c r="AW25" s="17"/>
      <c r="AX25" s="17">
        <f>SUMIFS($C25:$AL25,$C$7:$AL$7,AX$7)</f>
        <v>132313</v>
      </c>
      <c r="AY25" s="17"/>
      <c r="AZ25" s="17">
        <f t="shared" si="4"/>
        <v>0</v>
      </c>
      <c r="BA25" s="17">
        <f t="shared" si="4"/>
        <v>132313</v>
      </c>
    </row>
    <row r="26" spans="1:53" ht="12.9" x14ac:dyDescent="0.5">
      <c r="A26" s="2" t="s">
        <v>25</v>
      </c>
      <c r="B26" s="28"/>
      <c r="C26" s="29"/>
      <c r="D26" s="29"/>
      <c r="E26" s="29"/>
      <c r="F26" s="29"/>
      <c r="G26" s="29"/>
      <c r="H26" s="29"/>
      <c r="I26" s="29"/>
      <c r="J26" s="29"/>
      <c r="K26" s="29"/>
      <c r="L26" s="29"/>
      <c r="M26" s="29"/>
      <c r="N26" s="29"/>
      <c r="O26" s="29"/>
      <c r="P26" s="29"/>
      <c r="Q26" s="29"/>
      <c r="R26" s="29"/>
      <c r="S26" s="29"/>
      <c r="T26" s="29"/>
      <c r="U26" s="29"/>
      <c r="V26" s="29"/>
      <c r="W26" s="29"/>
      <c r="X26" s="29"/>
      <c r="Y26" s="29"/>
      <c r="Z26" s="29"/>
      <c r="AA26" s="29">
        <v>19860</v>
      </c>
      <c r="AB26" s="29">
        <v>45266</v>
      </c>
      <c r="AC26" s="29">
        <v>6000</v>
      </c>
      <c r="AD26" s="29">
        <v>0</v>
      </c>
      <c r="AE26" s="29">
        <v>0</v>
      </c>
      <c r="AF26" s="29">
        <v>35961</v>
      </c>
      <c r="AG26" s="29">
        <v>1619</v>
      </c>
      <c r="AH26" s="29">
        <v>8991</v>
      </c>
      <c r="AI26" s="29">
        <v>0</v>
      </c>
      <c r="AJ26" s="29">
        <v>0</v>
      </c>
      <c r="AK26" s="29">
        <v>0</v>
      </c>
      <c r="AL26" s="29">
        <v>0</v>
      </c>
      <c r="AM26" s="29">
        <v>0</v>
      </c>
      <c r="AN26" s="29">
        <v>0</v>
      </c>
      <c r="AO26" s="17"/>
      <c r="AP26" s="17"/>
      <c r="AQ26" s="17"/>
      <c r="AR26" s="17"/>
      <c r="AS26" s="17"/>
      <c r="AT26" s="17"/>
      <c r="AU26" s="17"/>
      <c r="AV26" s="17">
        <f>SUMIFS($C26:$AD26,$C$7:$AD$7,AV$7)</f>
        <v>71126</v>
      </c>
      <c r="AW26" s="17">
        <f>SUMIFS($C26:$AH26,$C$7:$AH$7,AW$7)</f>
        <v>46571</v>
      </c>
      <c r="AX26" s="17">
        <f>SUMIFS($C26:$AL26,$C$7:$AL$7,AX$7)</f>
        <v>0</v>
      </c>
      <c r="AY26" s="17"/>
      <c r="AZ26" s="17">
        <f t="shared" si="4"/>
        <v>46571</v>
      </c>
      <c r="BA26" s="17">
        <f t="shared" si="4"/>
        <v>0</v>
      </c>
    </row>
    <row r="27" spans="1:53" ht="12.9" hidden="1" x14ac:dyDescent="0.5">
      <c r="A27" s="2" t="s">
        <v>26</v>
      </c>
      <c r="B27" s="28"/>
      <c r="C27" s="29"/>
      <c r="D27" s="29"/>
      <c r="E27" s="29"/>
      <c r="F27" s="29"/>
      <c r="G27" s="29">
        <v>50000</v>
      </c>
      <c r="H27" s="29">
        <v>-2000</v>
      </c>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17"/>
      <c r="AP27" s="17"/>
      <c r="AQ27" s="17">
        <f>SUMIFS($C27:$V27,$C$7:$V$7,AQ$7)</f>
        <v>48000</v>
      </c>
      <c r="AR27" s="17"/>
      <c r="AS27" s="17"/>
      <c r="AT27" s="17"/>
      <c r="AU27" s="17"/>
      <c r="AV27" s="17"/>
      <c r="AW27" s="17"/>
      <c r="AX27" s="17">
        <f>SUMIFS($C27:$AL27,$C$7:$AL$7,AX$7)</f>
        <v>0</v>
      </c>
      <c r="AY27" s="17"/>
      <c r="AZ27" s="17">
        <f t="shared" si="4"/>
        <v>0</v>
      </c>
      <c r="BA27" s="17">
        <f t="shared" si="4"/>
        <v>0</v>
      </c>
    </row>
    <row r="28" spans="1:53" ht="12.9" x14ac:dyDescent="0.5">
      <c r="A28" s="2" t="s">
        <v>27</v>
      </c>
      <c r="B28" s="28"/>
      <c r="C28" s="29">
        <v>240</v>
      </c>
      <c r="D28" s="29"/>
      <c r="E28" s="29"/>
      <c r="F28" s="29">
        <v>30</v>
      </c>
      <c r="G28" s="29">
        <v>-38</v>
      </c>
      <c r="H28" s="29">
        <v>169</v>
      </c>
      <c r="I28" s="29">
        <v>-219</v>
      </c>
      <c r="J28" s="29">
        <v>39</v>
      </c>
      <c r="K28" s="29"/>
      <c r="L28" s="29">
        <v>2</v>
      </c>
      <c r="M28" s="29">
        <v>62</v>
      </c>
      <c r="N28" s="29">
        <v>36</v>
      </c>
      <c r="O28" s="29">
        <v>-98</v>
      </c>
      <c r="P28" s="29">
        <v>73</v>
      </c>
      <c r="Q28" s="29">
        <v>806</v>
      </c>
      <c r="R28" s="29">
        <v>-1005</v>
      </c>
      <c r="S28" s="29">
        <v>19</v>
      </c>
      <c r="T28" s="29">
        <v>281</v>
      </c>
      <c r="U28" s="29">
        <v>128</v>
      </c>
      <c r="V28" s="29">
        <v>580</v>
      </c>
      <c r="W28" s="29">
        <v>218</v>
      </c>
      <c r="X28" s="29">
        <v>1481</v>
      </c>
      <c r="Y28" s="29">
        <v>396</v>
      </c>
      <c r="Z28" s="29">
        <v>475</v>
      </c>
      <c r="AA28" s="29">
        <v>615</v>
      </c>
      <c r="AB28" s="29">
        <v>374</v>
      </c>
      <c r="AC28" s="29">
        <v>877</v>
      </c>
      <c r="AD28" s="29">
        <v>767</v>
      </c>
      <c r="AE28" s="29">
        <v>534</v>
      </c>
      <c r="AF28" s="29">
        <v>548</v>
      </c>
      <c r="AG28" s="29">
        <v>-447</v>
      </c>
      <c r="AH28" s="29">
        <v>984</v>
      </c>
      <c r="AI28" s="29">
        <v>191</v>
      </c>
      <c r="AJ28" s="29">
        <v>343</v>
      </c>
      <c r="AK28" s="29">
        <v>1355</v>
      </c>
      <c r="AL28" s="29">
        <v>1297</v>
      </c>
      <c r="AM28" s="29">
        <v>-71</v>
      </c>
      <c r="AN28" s="29">
        <v>1471</v>
      </c>
      <c r="AO28" s="17"/>
      <c r="AP28" s="32">
        <f t="shared" ref="AP28:AT29" si="5">SUMIFS($C28:$V28,$C$7:$V$7,AP$7)</f>
        <v>270</v>
      </c>
      <c r="AQ28" s="32">
        <f t="shared" si="5"/>
        <v>-49</v>
      </c>
      <c r="AR28" s="32">
        <f t="shared" si="5"/>
        <v>100</v>
      </c>
      <c r="AS28" s="32">
        <f t="shared" si="5"/>
        <v>-224</v>
      </c>
      <c r="AT28" s="32">
        <f t="shared" si="5"/>
        <v>1008</v>
      </c>
      <c r="AU28" s="32">
        <f>SUMIFS($C28:$Z28,$C$7:$Z$7,AU$7)</f>
        <v>2570</v>
      </c>
      <c r="AV28" s="32">
        <f>SUMIFS($C28:$AD28,$C$7:$AD$7,AV$7)</f>
        <v>2633</v>
      </c>
      <c r="AW28" s="32">
        <f>SUMIFS($C28:$AH28,$C$7:$AH$7,AW$7)</f>
        <v>1619</v>
      </c>
      <c r="AX28" s="32">
        <f>SUMIFS($C28:$AL28,$C$7:$AL$7,AX$7)</f>
        <v>3186</v>
      </c>
      <c r="AY28" s="17"/>
      <c r="AZ28" s="18">
        <f t="shared" si="4"/>
        <v>1276</v>
      </c>
      <c r="BA28" s="18">
        <f t="shared" si="4"/>
        <v>2924</v>
      </c>
    </row>
    <row r="29" spans="1:53" ht="12.9" x14ac:dyDescent="0.5">
      <c r="A29" s="7" t="s">
        <v>28</v>
      </c>
      <c r="B29" s="2"/>
      <c r="C29" s="20">
        <f t="shared" ref="C29:AM29" si="6">C19-SUM(C20:C28)</f>
        <v>101991</v>
      </c>
      <c r="D29" s="20">
        <f t="shared" si="6"/>
        <v>97916</v>
      </c>
      <c r="E29" s="20">
        <f t="shared" si="6"/>
        <v>122306</v>
      </c>
      <c r="F29" s="20">
        <f t="shared" si="6"/>
        <v>118909</v>
      </c>
      <c r="G29" s="20">
        <f t="shared" si="6"/>
        <v>120024</v>
      </c>
      <c r="H29" s="20">
        <f t="shared" si="6"/>
        <v>134655</v>
      </c>
      <c r="I29" s="20">
        <f t="shared" si="6"/>
        <v>138506</v>
      </c>
      <c r="J29" s="20">
        <f t="shared" si="6"/>
        <v>139033</v>
      </c>
      <c r="K29" s="20">
        <f t="shared" si="6"/>
        <v>148312</v>
      </c>
      <c r="L29" s="20">
        <f t="shared" si="6"/>
        <v>172676</v>
      </c>
      <c r="M29" s="20">
        <f t="shared" si="6"/>
        <v>185928</v>
      </c>
      <c r="N29" s="20">
        <f t="shared" si="6"/>
        <v>200193</v>
      </c>
      <c r="O29" s="20">
        <f t="shared" si="6"/>
        <v>220887</v>
      </c>
      <c r="P29" s="20">
        <f t="shared" si="6"/>
        <v>251696</v>
      </c>
      <c r="Q29" s="20">
        <f t="shared" si="6"/>
        <v>289266</v>
      </c>
      <c r="R29" s="20">
        <f t="shared" si="6"/>
        <v>304406</v>
      </c>
      <c r="S29" s="20">
        <f t="shared" si="6"/>
        <v>339692</v>
      </c>
      <c r="T29" s="20">
        <f t="shared" si="6"/>
        <v>363964</v>
      </c>
      <c r="U29" s="20">
        <f t="shared" si="6"/>
        <v>371779</v>
      </c>
      <c r="V29" s="20">
        <f t="shared" si="6"/>
        <v>411354</v>
      </c>
      <c r="W29" s="20">
        <f t="shared" si="6"/>
        <v>532185</v>
      </c>
      <c r="X29" s="20">
        <f t="shared" si="6"/>
        <v>501405</v>
      </c>
      <c r="Y29" s="20">
        <f t="shared" si="6"/>
        <v>616562</v>
      </c>
      <c r="Z29" s="20">
        <f t="shared" si="6"/>
        <v>621992</v>
      </c>
      <c r="AA29" s="20">
        <f t="shared" si="6"/>
        <v>731840</v>
      </c>
      <c r="AB29" s="20">
        <f t="shared" si="6"/>
        <v>786895</v>
      </c>
      <c r="AC29" s="20">
        <f t="shared" si="6"/>
        <v>906362</v>
      </c>
      <c r="AD29" s="20">
        <f t="shared" si="6"/>
        <v>1004638</v>
      </c>
      <c r="AE29" s="20">
        <f t="shared" si="6"/>
        <v>1115249</v>
      </c>
      <c r="AF29" s="20">
        <f t="shared" si="6"/>
        <v>1300631</v>
      </c>
      <c r="AG29" s="20">
        <f t="shared" si="6"/>
        <v>1259107</v>
      </c>
      <c r="AH29" s="20">
        <f t="shared" si="6"/>
        <v>1398512</v>
      </c>
      <c r="AI29" s="20">
        <f t="shared" si="6"/>
        <v>1365614</v>
      </c>
      <c r="AJ29" s="20">
        <f t="shared" si="6"/>
        <v>1501449</v>
      </c>
      <c r="AK29" s="20">
        <f t="shared" si="6"/>
        <v>1440197</v>
      </c>
      <c r="AL29" s="20">
        <f t="shared" si="6"/>
        <v>1482800</v>
      </c>
      <c r="AM29" s="20">
        <f t="shared" si="6"/>
        <v>1408096</v>
      </c>
      <c r="AN29" s="20">
        <v>1492270</v>
      </c>
      <c r="AO29" s="20"/>
      <c r="AP29" s="20">
        <f t="shared" si="5"/>
        <v>441122</v>
      </c>
      <c r="AQ29" s="20">
        <f t="shared" si="5"/>
        <v>532218</v>
      </c>
      <c r="AR29" s="20">
        <f t="shared" si="5"/>
        <v>707109</v>
      </c>
      <c r="AS29" s="20">
        <f t="shared" si="5"/>
        <v>1066255</v>
      </c>
      <c r="AT29" s="20">
        <f t="shared" si="5"/>
        <v>1486789</v>
      </c>
      <c r="AU29" s="20">
        <f>SUMIFS($C29:$Z29,$C$7:$Z$7,AU$7)</f>
        <v>2272144</v>
      </c>
      <c r="AV29" s="20">
        <f>SUMIFS($C29:$AD29,$C$7:$AD$7,AV$7)</f>
        <v>3429735</v>
      </c>
      <c r="AW29" s="20">
        <f>SUMIFS($C29:$AH29,$C$7:$AH$7,AW$7)</f>
        <v>5073499</v>
      </c>
      <c r="AX29" s="20">
        <f>SUMIFS($C29:$AL29,$C$7:$AL$7,AX$7)</f>
        <v>5790060</v>
      </c>
      <c r="AY29" s="20"/>
      <c r="AZ29" s="20">
        <f t="shared" si="4"/>
        <v>5323864</v>
      </c>
      <c r="BA29" s="20">
        <f t="shared" si="4"/>
        <v>5832542</v>
      </c>
    </row>
    <row r="30" spans="1:53" ht="12.9" x14ac:dyDescent="0.5">
      <c r="A30" s="7"/>
      <c r="B30" s="2"/>
      <c r="C30" s="33"/>
      <c r="D30" s="33"/>
      <c r="E30" s="33"/>
      <c r="F30" s="33"/>
      <c r="G30" s="33"/>
      <c r="H30" s="33"/>
      <c r="I30" s="33"/>
      <c r="J30" s="33"/>
      <c r="K30" s="33"/>
      <c r="L30" s="33"/>
      <c r="M30" s="33"/>
      <c r="N30" s="33"/>
      <c r="O30" s="33"/>
      <c r="P30" s="33"/>
      <c r="Q30" s="33"/>
      <c r="R30" s="33"/>
      <c r="S30" s="33"/>
      <c r="T30" s="33"/>
      <c r="U30" s="33"/>
      <c r="V30" s="33"/>
      <c r="W30" s="27"/>
      <c r="X30" s="27"/>
      <c r="Y30" s="27"/>
      <c r="AD30" s="20"/>
      <c r="AE30" s="20"/>
      <c r="AF30" s="20"/>
      <c r="AG30" s="20"/>
      <c r="AH30" s="20"/>
      <c r="AI30" s="20"/>
      <c r="AJ30" s="20"/>
      <c r="AK30" s="20"/>
      <c r="AL30" s="20"/>
      <c r="AM30" s="20"/>
      <c r="AN30" s="20"/>
      <c r="AO30" s="20"/>
      <c r="AP30" s="20"/>
      <c r="AQ30" s="20"/>
      <c r="AR30" s="20"/>
      <c r="AS30" s="20"/>
      <c r="AT30" s="20"/>
      <c r="AU30" s="34"/>
      <c r="AV30" s="34"/>
      <c r="AW30" s="34"/>
      <c r="AX30" s="34"/>
      <c r="AY30" s="20"/>
      <c r="AZ30" s="34"/>
      <c r="BA30" s="34"/>
    </row>
    <row r="31" spans="1:53" ht="12.9" x14ac:dyDescent="0.5">
      <c r="A31" s="17" t="s">
        <v>29</v>
      </c>
      <c r="B31" s="17"/>
      <c r="C31" s="35">
        <v>7577</v>
      </c>
      <c r="D31" s="35">
        <v>8433</v>
      </c>
      <c r="E31" s="35">
        <v>10220</v>
      </c>
      <c r="F31" s="35">
        <v>3747</v>
      </c>
      <c r="G31" s="35">
        <v>701</v>
      </c>
      <c r="H31" s="35">
        <v>-1750</v>
      </c>
      <c r="I31" s="35">
        <v>-185</v>
      </c>
      <c r="J31" s="35">
        <v>2301</v>
      </c>
      <c r="K31" s="36">
        <f t="shared" ref="K31:AM31" si="7">(K66-K20+(K67-K21)+K80)</f>
        <v>1906</v>
      </c>
      <c r="L31" s="36">
        <f t="shared" si="7"/>
        <v>1743</v>
      </c>
      <c r="M31" s="36">
        <f t="shared" si="7"/>
        <v>1616</v>
      </c>
      <c r="N31" s="36">
        <f t="shared" si="7"/>
        <v>1547</v>
      </c>
      <c r="O31" s="36">
        <f t="shared" si="7"/>
        <v>1611</v>
      </c>
      <c r="P31" s="36">
        <f t="shared" si="7"/>
        <v>4202</v>
      </c>
      <c r="Q31" s="36">
        <f t="shared" si="7"/>
        <v>7603</v>
      </c>
      <c r="R31" s="36">
        <f t="shared" si="7"/>
        <v>5662</v>
      </c>
      <c r="S31" s="36">
        <f t="shared" si="7"/>
        <v>4635</v>
      </c>
      <c r="T31" s="36">
        <f t="shared" si="7"/>
        <v>3423</v>
      </c>
      <c r="U31" s="36">
        <f t="shared" si="7"/>
        <v>3065</v>
      </c>
      <c r="V31" s="36">
        <f t="shared" si="7"/>
        <v>2834</v>
      </c>
      <c r="W31" s="36">
        <f t="shared" si="7"/>
        <v>3015</v>
      </c>
      <c r="X31" s="36">
        <f t="shared" si="7"/>
        <v>2573</v>
      </c>
      <c r="Y31" s="36">
        <f t="shared" si="7"/>
        <v>3427</v>
      </c>
      <c r="Z31" s="36">
        <f t="shared" si="7"/>
        <v>3791</v>
      </c>
      <c r="AA31" s="36">
        <f t="shared" si="7"/>
        <v>4587</v>
      </c>
      <c r="AB31" s="36">
        <f t="shared" si="7"/>
        <v>5652</v>
      </c>
      <c r="AC31" s="36">
        <f t="shared" si="7"/>
        <v>6553</v>
      </c>
      <c r="AD31" s="36">
        <f t="shared" si="7"/>
        <v>6777</v>
      </c>
      <c r="AE31" s="36">
        <f t="shared" si="7"/>
        <v>15650</v>
      </c>
      <c r="AF31" s="36">
        <f t="shared" si="7"/>
        <v>18325</v>
      </c>
      <c r="AG31" s="36">
        <f t="shared" si="7"/>
        <v>19378</v>
      </c>
      <c r="AH31" s="36">
        <f t="shared" si="7"/>
        <v>19218</v>
      </c>
      <c r="AI31" s="36">
        <f t="shared" si="7"/>
        <v>19397</v>
      </c>
      <c r="AJ31" s="36">
        <f t="shared" si="7"/>
        <v>19750</v>
      </c>
      <c r="AK31" s="36">
        <f t="shared" si="7"/>
        <v>19236</v>
      </c>
      <c r="AL31" s="36">
        <f t="shared" si="7"/>
        <v>19211</v>
      </c>
      <c r="AM31" s="36">
        <f t="shared" si="7"/>
        <v>18697</v>
      </c>
      <c r="AN31" s="36">
        <v>18266</v>
      </c>
      <c r="AO31" s="12"/>
      <c r="AP31" s="12">
        <f>SUMIFS($C31:$V31,$C$7:$V$7,AP$7)</f>
        <v>29977</v>
      </c>
      <c r="AQ31" s="12">
        <f>SUMIFS($C31:$V31,$C$7:$V$7,AQ$7)</f>
        <v>1067</v>
      </c>
      <c r="AR31" s="12">
        <f>SUMIFS($C31:$V31,$C$7:$V$7,AR$7)</f>
        <v>6812</v>
      </c>
      <c r="AS31" s="12">
        <f>SUMIFS($C31:$V31,$C$7:$V$7,AS$7)</f>
        <v>19078</v>
      </c>
      <c r="AT31" s="12">
        <f>SUMIFS($C31:$V31,$C$7:$V$7,AT$7)</f>
        <v>13957</v>
      </c>
      <c r="AU31" s="12">
        <f>SUMIFS($C31:$Z31,$C$7:$Z$7,AU$7)</f>
        <v>12806</v>
      </c>
      <c r="AV31" s="12">
        <f>SUMIFS($C31:$AD31,$C$7:$AD$7,AV$7)</f>
        <v>23569</v>
      </c>
      <c r="AW31" s="12">
        <f>SUMIFS($C31:$AH31,$C$7:$AH$7,AW$7)</f>
        <v>72571</v>
      </c>
      <c r="AX31" s="12">
        <f>SUMIFS($C31:$AL31,$C$7:$AL$7,AX$7)</f>
        <v>77594</v>
      </c>
      <c r="AY31" s="37"/>
      <c r="AZ31" s="12">
        <f>SUMIFS($C31:$AM31,$C$5:$AM$5,"&lt;="&amp;AZ$5,$C$5:$AM$5,"&gt;"&amp;EOMONTH(AZ$5,-12))</f>
        <v>76318</v>
      </c>
      <c r="BA31" s="12">
        <f>SUMIFS($C31:$AM31,$C$5:$AM$5,"&lt;="&amp;BA$5,$C$5:$AM$5,"&gt;"&amp;EOMONTH(BA$5,-12))</f>
        <v>76894</v>
      </c>
    </row>
    <row r="32" spans="1:53" ht="12.9" x14ac:dyDescent="0.5">
      <c r="A32" s="7"/>
      <c r="B32" s="2"/>
      <c r="C32" s="20"/>
      <c r="D32" s="20"/>
      <c r="E32" s="20"/>
      <c r="F32" s="20"/>
      <c r="G32" s="20"/>
      <c r="H32" s="20"/>
      <c r="I32" s="20"/>
      <c r="J32" s="20"/>
      <c r="K32" s="20"/>
      <c r="L32" s="20"/>
      <c r="M32" s="20"/>
      <c r="N32" s="20"/>
      <c r="O32" s="20"/>
      <c r="P32" s="20"/>
      <c r="Q32" s="20"/>
      <c r="R32" s="20"/>
      <c r="S32" s="20"/>
      <c r="T32" s="20"/>
      <c r="U32" s="20"/>
      <c r="V32" s="20"/>
      <c r="W32" s="20"/>
      <c r="X32" s="20"/>
      <c r="Y32" s="20"/>
      <c r="Z32" s="20"/>
      <c r="AA32" s="20"/>
      <c r="AB32" s="20"/>
      <c r="AC32" s="20"/>
      <c r="AD32" s="38"/>
      <c r="AE32" s="20"/>
      <c r="AF32" s="20"/>
      <c r="AG32" s="39"/>
      <c r="AH32" s="20"/>
      <c r="AI32" s="20"/>
      <c r="AJ32" s="20"/>
      <c r="AK32" s="20"/>
      <c r="AL32" s="20"/>
      <c r="AM32" s="20"/>
      <c r="AN32" s="20"/>
      <c r="AO32" s="20"/>
      <c r="AP32" s="20"/>
      <c r="AQ32" s="25"/>
      <c r="AR32" s="25"/>
      <c r="AS32" s="25"/>
      <c r="AT32" s="25"/>
      <c r="AU32" s="25"/>
      <c r="AV32" s="25"/>
      <c r="AW32" s="25"/>
      <c r="AX32" s="25"/>
      <c r="AY32" s="20"/>
      <c r="AZ32" s="25"/>
      <c r="BA32" s="25"/>
    </row>
    <row r="33" spans="1:53" ht="12.9" x14ac:dyDescent="0.5">
      <c r="A33" s="7" t="s">
        <v>30</v>
      </c>
      <c r="C33" s="20">
        <f t="shared" ref="C33:AM33" si="8">C17-C29+C31</f>
        <v>-20129</v>
      </c>
      <c r="D33" s="20">
        <f t="shared" si="8"/>
        <v>859</v>
      </c>
      <c r="E33" s="20">
        <f t="shared" si="8"/>
        <v>-15776</v>
      </c>
      <c r="F33" s="20">
        <f t="shared" si="8"/>
        <v>-6069</v>
      </c>
      <c r="G33" s="20">
        <f t="shared" si="8"/>
        <v>-9083</v>
      </c>
      <c r="H33" s="20">
        <f t="shared" si="8"/>
        <v>12554</v>
      </c>
      <c r="I33" s="20">
        <f t="shared" si="8"/>
        <v>11623</v>
      </c>
      <c r="J33" s="20">
        <f t="shared" si="8"/>
        <v>29793</v>
      </c>
      <c r="K33" s="20">
        <f t="shared" si="8"/>
        <v>27025</v>
      </c>
      <c r="L33" s="20">
        <f t="shared" si="8"/>
        <v>36496</v>
      </c>
      <c r="M33" s="20">
        <f t="shared" si="8"/>
        <v>34304</v>
      </c>
      <c r="N33" s="20">
        <f t="shared" si="8"/>
        <v>41184</v>
      </c>
      <c r="O33" s="20">
        <f t="shared" si="8"/>
        <v>35894</v>
      </c>
      <c r="P33" s="20">
        <f t="shared" si="8"/>
        <v>68322</v>
      </c>
      <c r="Q33" s="20">
        <f t="shared" si="8"/>
        <v>70997</v>
      </c>
      <c r="R33" s="20">
        <f t="shared" si="8"/>
        <v>81310</v>
      </c>
      <c r="S33" s="20">
        <f t="shared" si="8"/>
        <v>61697</v>
      </c>
      <c r="T33" s="20">
        <f t="shared" si="8"/>
        <v>105304</v>
      </c>
      <c r="U33" s="20">
        <f t="shared" si="8"/>
        <v>131323</v>
      </c>
      <c r="V33" s="20">
        <f t="shared" si="8"/>
        <v>118529</v>
      </c>
      <c r="W33" s="20">
        <f t="shared" si="8"/>
        <v>9331</v>
      </c>
      <c r="X33" s="20">
        <f t="shared" si="8"/>
        <v>97931</v>
      </c>
      <c r="Y33" s="20">
        <f t="shared" si="8"/>
        <v>181320</v>
      </c>
      <c r="Z33" s="20">
        <f t="shared" si="8"/>
        <v>185489</v>
      </c>
      <c r="AA33" s="20">
        <f t="shared" si="8"/>
        <v>236247</v>
      </c>
      <c r="AB33" s="20">
        <f t="shared" si="8"/>
        <v>359822</v>
      </c>
      <c r="AC33" s="20">
        <f t="shared" si="8"/>
        <v>233406</v>
      </c>
      <c r="AD33" s="20">
        <f t="shared" si="8"/>
        <v>184181</v>
      </c>
      <c r="AE33" s="20">
        <f t="shared" si="8"/>
        <v>195361</v>
      </c>
      <c r="AF33" s="20">
        <f t="shared" si="8"/>
        <v>187342</v>
      </c>
      <c r="AG33" s="20">
        <f t="shared" si="8"/>
        <v>327360</v>
      </c>
      <c r="AH33" s="20">
        <f t="shared" si="8"/>
        <v>280901</v>
      </c>
      <c r="AI33" s="20">
        <f t="shared" si="8"/>
        <v>368367</v>
      </c>
      <c r="AJ33" s="20">
        <f t="shared" si="8"/>
        <v>384402</v>
      </c>
      <c r="AK33" s="20">
        <f t="shared" si="8"/>
        <v>477488</v>
      </c>
      <c r="AL33" s="20">
        <f t="shared" si="8"/>
        <v>562163</v>
      </c>
      <c r="AM33" s="20">
        <f t="shared" si="8"/>
        <v>705074</v>
      </c>
      <c r="AN33" s="20">
        <v>759476</v>
      </c>
      <c r="AO33" s="12"/>
      <c r="AP33" s="20">
        <f>SUMIFS($C33:$V33,$C$7:$V$7,AP$7)</f>
        <v>-41115</v>
      </c>
      <c r="AQ33" s="20">
        <f>SUMIFS($C33:$V33,$C$7:$V$7,AQ$7)</f>
        <v>44887</v>
      </c>
      <c r="AR33" s="20">
        <f>SUMIFS($C33:$V33,$C$7:$V$7,AR$7)</f>
        <v>139009</v>
      </c>
      <c r="AS33" s="20">
        <f>SUMIFS($C33:$V33,$C$7:$V$7,AS$7)</f>
        <v>256523</v>
      </c>
      <c r="AT33" s="20">
        <f>SUMIFS($C33:$V33,$C$7:$V$7,AT$7)</f>
        <v>416853</v>
      </c>
      <c r="AU33" s="20">
        <f>SUMIFS($C33:$AB33,$C$7:$AB$7,AU$7)</f>
        <v>474071</v>
      </c>
      <c r="AV33" s="20">
        <f>AV17-AV29+AV31</f>
        <v>1013656</v>
      </c>
      <c r="AW33" s="20">
        <f>SUMIFS($C33:$AH33,$C$7:$AH$7,AW$7)</f>
        <v>990964</v>
      </c>
      <c r="AX33" s="20">
        <f>SUMIFS($C33:$AL33,$C$7:$AL$7,AX$7)</f>
        <v>1792420</v>
      </c>
      <c r="AY33" s="20"/>
      <c r="AZ33" s="20">
        <f>SUMIFS($C33:$AM33,$C$5:$AM$5,"&lt;="&amp;AZ$5,$C$5:$AM$5,"&gt;"&amp;EOMONTH(AZ$5,-12))</f>
        <v>1163970</v>
      </c>
      <c r="BA33" s="20">
        <f>SUMIFS($C33:$AM33,$C$5:$AM$5,"&lt;="&amp;BA$5,$C$5:$AM$5,"&gt;"&amp;EOMONTH(BA$5,-12))</f>
        <v>2129127</v>
      </c>
    </row>
    <row r="34" spans="1:53" ht="12.9" outlineLevel="1" x14ac:dyDescent="0.5">
      <c r="A34" s="7"/>
      <c r="B34" s="2"/>
      <c r="C34" s="12"/>
      <c r="D34" s="12"/>
      <c r="E34" s="12"/>
      <c r="F34" s="12"/>
      <c r="G34" s="12"/>
      <c r="H34" s="12"/>
      <c r="I34" s="12"/>
      <c r="J34" s="12"/>
      <c r="K34" s="12"/>
      <c r="L34" s="12"/>
      <c r="M34" s="12"/>
      <c r="N34" s="12"/>
      <c r="O34" s="12"/>
      <c r="P34" s="12"/>
      <c r="Q34" s="12"/>
      <c r="R34" s="12"/>
      <c r="S34" s="12"/>
      <c r="T34" s="12"/>
      <c r="U34" s="12"/>
      <c r="V34" s="12"/>
      <c r="W34" s="12"/>
      <c r="X34" s="12"/>
      <c r="Y34" s="12"/>
      <c r="Z34" s="26"/>
      <c r="AA34" s="26"/>
      <c r="AB34" s="26"/>
      <c r="AC34" s="26"/>
      <c r="AD34" s="20"/>
      <c r="AE34" s="12"/>
      <c r="AF34" s="12"/>
      <c r="AG34" s="12"/>
      <c r="AH34" s="12"/>
      <c r="AI34" s="12"/>
      <c r="AJ34" s="12"/>
      <c r="AK34" s="12"/>
      <c r="AL34" s="12"/>
      <c r="AM34" s="12"/>
      <c r="AN34" s="12"/>
      <c r="AO34" s="12"/>
      <c r="AP34" s="12"/>
      <c r="AQ34" s="12"/>
      <c r="AR34" s="12"/>
      <c r="AS34" s="12"/>
      <c r="AT34" s="12"/>
      <c r="AU34" s="12"/>
      <c r="AV34" s="12"/>
      <c r="AW34" s="12"/>
      <c r="AX34" s="12"/>
      <c r="AY34" s="2"/>
      <c r="AZ34" s="2"/>
      <c r="BA34" s="2"/>
    </row>
    <row r="35" spans="1:53" ht="12.9" outlineLevel="1" x14ac:dyDescent="0.5">
      <c r="A35" s="7" t="s">
        <v>31</v>
      </c>
      <c r="B35" s="2"/>
      <c r="C35" s="12">
        <f>'[23]GAAP IS'!C27</f>
        <v>39545</v>
      </c>
      <c r="D35" s="12">
        <f>'[23]GAAP IS'!D27</f>
        <v>45887</v>
      </c>
      <c r="E35" s="12">
        <f>'[23]GAAP IS'!E27</f>
        <v>55020</v>
      </c>
      <c r="F35" s="12">
        <f>'[23]GAAP IS'!F27</f>
        <v>59186</v>
      </c>
      <c r="G35" s="12">
        <f>'[23]GAAP IS'!G27</f>
        <v>64592</v>
      </c>
      <c r="H35" s="12">
        <f>'[23]GAAP IS'!H27</f>
        <v>68638</v>
      </c>
      <c r="I35" s="12">
        <f>'[23]GAAP IS'!I27</f>
        <v>70418</v>
      </c>
      <c r="J35" s="12">
        <f>'[23]GAAP IS'!J27</f>
        <v>64889</v>
      </c>
      <c r="K35" s="12">
        <f>'[23]GAAP IS'!K27</f>
        <v>68582</v>
      </c>
      <c r="L35" s="12">
        <f>'[23]GAAP IS'!L27</f>
        <v>78126</v>
      </c>
      <c r="M35" s="12">
        <f>'[23]GAAP IS'!M27</f>
        <v>82547</v>
      </c>
      <c r="N35" s="12">
        <f>'[23]GAAP IS'!N27</f>
        <v>92633</v>
      </c>
      <c r="O35" s="12">
        <f>'[23]GAAP IS'!O27</f>
        <v>105095</v>
      </c>
      <c r="P35" s="12">
        <f>'[23]GAAP IS'!P27</f>
        <v>114800</v>
      </c>
      <c r="Q35" s="12">
        <f>'[23]GAAP IS'!Q27</f>
        <v>135773</v>
      </c>
      <c r="R35" s="12">
        <f>'[23]GAAP IS'!R27</f>
        <v>141811</v>
      </c>
      <c r="S35" s="12">
        <f>'[23]GAAP IS'!S27</f>
        <v>155240</v>
      </c>
      <c r="T35" s="12">
        <f>'[23]GAAP IS'!T27</f>
        <v>175090</v>
      </c>
      <c r="U35" s="12">
        <f>'[23]GAAP IS'!U27</f>
        <v>169661</v>
      </c>
      <c r="V35" s="12">
        <f>'[23]GAAP IS'!V27</f>
        <v>174174</v>
      </c>
      <c r="W35" s="12">
        <f>'[23]GAAP IS'!W27</f>
        <v>195876</v>
      </c>
      <c r="X35" s="12">
        <f>'[23]GAAP IS'!X27</f>
        <v>207730</v>
      </c>
      <c r="Y35" s="12">
        <f>'[23]GAAP IS'!Y27</f>
        <v>227550</v>
      </c>
      <c r="Z35" s="12">
        <f>'[23]GAAP IS'!Z27</f>
        <v>254525</v>
      </c>
      <c r="AA35" s="12">
        <f>'[23]GAAP IS'!AA27</f>
        <v>307711</v>
      </c>
      <c r="AB35" s="12">
        <f>'[23]GAAP IS'!AB27</f>
        <v>324058</v>
      </c>
      <c r="AC35" s="12">
        <f>'[23]GAAP IS'!AC27</f>
        <v>360729</v>
      </c>
      <c r="AD35" s="12">
        <f>'[23]GAAP IS'!AD27</f>
        <v>391343</v>
      </c>
      <c r="AE35" s="12">
        <f>'[23]GAAP IS'!AE27</f>
        <v>458224</v>
      </c>
      <c r="AF35" s="12">
        <f>'[23]GAAP IS'!AF27</f>
        <v>524827</v>
      </c>
      <c r="AG35" s="12">
        <f>'[23]GAAP IS'!AG27</f>
        <v>548037</v>
      </c>
      <c r="AH35" s="12">
        <f>'[23]GAAP IS'!AH27</f>
        <v>604524</v>
      </c>
      <c r="AI35" s="12">
        <f>'[23]GAAP IS'!AI27</f>
        <v>626937</v>
      </c>
      <c r="AJ35" s="12">
        <f>'[23]GAAP IS'!AJ27</f>
        <v>694672</v>
      </c>
      <c r="AK35" s="12">
        <f>'[23]GAAP IS'!AK27</f>
        <v>713788</v>
      </c>
      <c r="AL35" s="12">
        <f>'[23]GAAP IS'!AL27</f>
        <v>685422</v>
      </c>
      <c r="AM35" s="12">
        <f>'[23]GAAP IS'!AM27</f>
        <v>720574</v>
      </c>
      <c r="AN35" s="12">
        <v>713163</v>
      </c>
      <c r="AO35" s="12"/>
      <c r="AP35" s="12">
        <f t="shared" ref="AP35:AT37" si="9">SUMIFS($C35:$V35,$C$7:$V$7,AP$7)</f>
        <v>199638</v>
      </c>
      <c r="AQ35" s="12">
        <f t="shared" si="9"/>
        <v>268537</v>
      </c>
      <c r="AR35" s="12">
        <f t="shared" si="9"/>
        <v>321888</v>
      </c>
      <c r="AS35" s="12">
        <f t="shared" si="9"/>
        <v>497479</v>
      </c>
      <c r="AT35" s="12">
        <f t="shared" si="9"/>
        <v>674165</v>
      </c>
      <c r="AU35" s="12">
        <f>SUMIFS($C35:$Z35,$C$7:$Z$7,AU$7)</f>
        <v>885681</v>
      </c>
      <c r="AV35" s="12">
        <f>SUMIFS($C35:$AD35,$C$7:$AD$7,AV$7)</f>
        <v>1383841</v>
      </c>
      <c r="AW35" s="12">
        <f>SUMIFS($C35:$AH35,$C$7:$AH$7,AW$7)</f>
        <v>2135612</v>
      </c>
      <c r="AX35" s="12">
        <f>SUMIFS($C35:$AL35,$C$7:$AL$7,AX$7)</f>
        <v>2720819</v>
      </c>
      <c r="AY35" s="2"/>
      <c r="AZ35" s="12">
        <f t="shared" ref="AZ35:BA40" si="10">SUMIFS($C35:$AM35,$C$5:$AM$5,"&lt;="&amp;AZ$5,$C$5:$AM$5,"&gt;"&amp;EOMONTH(AZ$5,-12))</f>
        <v>2304325</v>
      </c>
      <c r="BA35" s="12">
        <f t="shared" si="10"/>
        <v>2814456</v>
      </c>
    </row>
    <row r="36" spans="1:53" ht="12.9" outlineLevel="1" x14ac:dyDescent="0.5">
      <c r="A36" s="2" t="s">
        <v>19</v>
      </c>
      <c r="B36" s="2"/>
      <c r="C36" s="29">
        <v>8958</v>
      </c>
      <c r="D36" s="29">
        <v>10391</v>
      </c>
      <c r="E36" s="29">
        <v>13938</v>
      </c>
      <c r="F36" s="29">
        <v>21451</v>
      </c>
      <c r="G36" s="29">
        <v>21947</v>
      </c>
      <c r="H36" s="29">
        <v>24168</v>
      </c>
      <c r="I36" s="29">
        <v>23949</v>
      </c>
      <c r="J36" s="29">
        <v>21340</v>
      </c>
      <c r="K36" s="29">
        <v>19356</v>
      </c>
      <c r="L36" s="29">
        <v>25136</v>
      </c>
      <c r="M36" s="29">
        <v>25254</v>
      </c>
      <c r="N36" s="29">
        <v>28564</v>
      </c>
      <c r="O36" s="29">
        <v>30482</v>
      </c>
      <c r="P36" s="29">
        <v>33806</v>
      </c>
      <c r="Q36" s="29">
        <v>39525</v>
      </c>
      <c r="R36" s="29">
        <v>40788</v>
      </c>
      <c r="S36" s="29">
        <v>42649</v>
      </c>
      <c r="T36" s="29">
        <v>56144</v>
      </c>
      <c r="U36" s="29">
        <v>56321</v>
      </c>
      <c r="V36" s="29">
        <v>55726</v>
      </c>
      <c r="W36" s="29">
        <v>57400</v>
      </c>
      <c r="X36" s="29">
        <v>69565</v>
      </c>
      <c r="Y36" s="29">
        <v>78682</v>
      </c>
      <c r="Z36" s="29">
        <v>83906</v>
      </c>
      <c r="AA36" s="29">
        <v>86895</v>
      </c>
      <c r="AB36" s="29">
        <v>106161</v>
      </c>
      <c r="AC36" s="29">
        <v>121209</v>
      </c>
      <c r="AD36" s="29">
        <v>132331</v>
      </c>
      <c r="AE36" s="29">
        <v>145075</v>
      </c>
      <c r="AF36" s="29">
        <v>179137</v>
      </c>
      <c r="AG36" s="29">
        <v>184569</v>
      </c>
      <c r="AH36" s="29">
        <v>192934</v>
      </c>
      <c r="AI36" s="29">
        <v>197857</v>
      </c>
      <c r="AJ36" s="29">
        <v>223411</v>
      </c>
      <c r="AK36" s="29">
        <v>245244</v>
      </c>
      <c r="AL36" s="29">
        <v>235618</v>
      </c>
      <c r="AM36" s="29">
        <v>217450</v>
      </c>
      <c r="AN36" s="29">
        <v>229330</v>
      </c>
      <c r="AO36" s="18"/>
      <c r="AP36" s="18">
        <f t="shared" si="9"/>
        <v>54738</v>
      </c>
      <c r="AQ36" s="18">
        <f t="shared" si="9"/>
        <v>91404</v>
      </c>
      <c r="AR36" s="18">
        <f t="shared" si="9"/>
        <v>98310</v>
      </c>
      <c r="AS36" s="18">
        <f t="shared" si="9"/>
        <v>144601</v>
      </c>
      <c r="AT36" s="18">
        <f t="shared" si="9"/>
        <v>210840</v>
      </c>
      <c r="AU36" s="18">
        <f>SUMIFS($C36:$Z36,$C$7:$Z$7,AU$7)</f>
        <v>289553</v>
      </c>
      <c r="AV36" s="17">
        <f>SUMIFS($C36:$AD36,$C$7:$AD$7,AV$7)</f>
        <v>446596</v>
      </c>
      <c r="AW36" s="17">
        <f>SUMIFS($C36:$AH36,$C$7:$AH$7,AW$7)</f>
        <v>701715</v>
      </c>
      <c r="AX36" s="17">
        <f>SUMIFS($C36:$AL36,$C$7:$AL$7,AX$7)</f>
        <v>902130</v>
      </c>
      <c r="AY36" s="2"/>
      <c r="AZ36" s="17">
        <f t="shared" si="10"/>
        <v>754497</v>
      </c>
      <c r="BA36" s="17">
        <f t="shared" si="10"/>
        <v>921723</v>
      </c>
    </row>
    <row r="37" spans="1:53" ht="12.9" outlineLevel="1" x14ac:dyDescent="0.5">
      <c r="A37" s="2" t="s">
        <v>20</v>
      </c>
      <c r="B37" s="2"/>
      <c r="C37" s="29">
        <v>2881</v>
      </c>
      <c r="D37" s="29">
        <v>3055</v>
      </c>
      <c r="E37" s="29">
        <v>3171</v>
      </c>
      <c r="F37" s="29">
        <v>2240</v>
      </c>
      <c r="G37" s="29">
        <v>3141</v>
      </c>
      <c r="H37" s="29">
        <v>3128</v>
      </c>
      <c r="I37" s="29">
        <v>3282</v>
      </c>
      <c r="J37" s="29">
        <v>3639</v>
      </c>
      <c r="K37" s="29">
        <v>3712</v>
      </c>
      <c r="L37" s="29">
        <v>3436</v>
      </c>
      <c r="M37" s="29">
        <v>4586</v>
      </c>
      <c r="N37" s="29">
        <v>5221</v>
      </c>
      <c r="O37" s="29">
        <v>5473</v>
      </c>
      <c r="P37" s="29">
        <v>5974</v>
      </c>
      <c r="Q37" s="29">
        <v>7831</v>
      </c>
      <c r="R37" s="29">
        <v>14029</v>
      </c>
      <c r="S37" s="29">
        <v>11142</v>
      </c>
      <c r="T37" s="29">
        <v>11478</v>
      </c>
      <c r="U37" s="29">
        <v>11933</v>
      </c>
      <c r="V37" s="29">
        <v>11446</v>
      </c>
      <c r="W37" s="29">
        <v>12336</v>
      </c>
      <c r="X37" s="29">
        <v>12696</v>
      </c>
      <c r="Y37" s="29">
        <v>11546</v>
      </c>
      <c r="Z37" s="29">
        <v>12647</v>
      </c>
      <c r="AA37" s="29">
        <v>17395</v>
      </c>
      <c r="AB37" s="29">
        <v>15400</v>
      </c>
      <c r="AC37" s="29">
        <v>22987</v>
      </c>
      <c r="AD37" s="29">
        <v>20299</v>
      </c>
      <c r="AE37" s="29">
        <v>26850.91</v>
      </c>
      <c r="AF37" s="29">
        <v>33705</v>
      </c>
      <c r="AG37" s="29">
        <v>31767</v>
      </c>
      <c r="AH37" s="29">
        <v>29943</v>
      </c>
      <c r="AI37" s="29">
        <v>30537</v>
      </c>
      <c r="AJ37" s="29">
        <v>41829</v>
      </c>
      <c r="AK37" s="29">
        <v>37520</v>
      </c>
      <c r="AL37" s="29">
        <v>38952</v>
      </c>
      <c r="AM37" s="29">
        <v>37101</v>
      </c>
      <c r="AN37" s="29">
        <v>38809</v>
      </c>
      <c r="AO37" s="18"/>
      <c r="AP37" s="18">
        <f t="shared" si="9"/>
        <v>11347</v>
      </c>
      <c r="AQ37" s="18">
        <f t="shared" si="9"/>
        <v>13190</v>
      </c>
      <c r="AR37" s="18">
        <f t="shared" si="9"/>
        <v>16955</v>
      </c>
      <c r="AS37" s="18">
        <f t="shared" si="9"/>
        <v>33307</v>
      </c>
      <c r="AT37" s="18">
        <f t="shared" si="9"/>
        <v>45999</v>
      </c>
      <c r="AU37" s="18">
        <f>SUMIFS($C37:$Z37,$C$7:$Z$7,AU$7)</f>
        <v>49225</v>
      </c>
      <c r="AV37" s="17">
        <f>SUMIFS($C37:$AD37,$C$7:$AD$7,AV$7)</f>
        <v>76081</v>
      </c>
      <c r="AW37" s="17">
        <f>SUMIFS($C37:$AH37,$C$7:$AH$7,AW$7)</f>
        <v>122265.91</v>
      </c>
      <c r="AX37" s="17">
        <f>SUMIFS($C37:$AL37,$C$7:$AL$7,AX$7)</f>
        <v>148838</v>
      </c>
      <c r="AY37" s="2"/>
      <c r="AZ37" s="17">
        <f t="shared" si="10"/>
        <v>125952</v>
      </c>
      <c r="BA37" s="17">
        <f t="shared" si="10"/>
        <v>155402</v>
      </c>
    </row>
    <row r="38" spans="1:53" ht="12.9" outlineLevel="1" x14ac:dyDescent="0.5">
      <c r="A38" s="2" t="s">
        <v>23</v>
      </c>
      <c r="B38" s="2"/>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c r="AK38" s="29"/>
      <c r="AL38" s="29"/>
      <c r="AM38" s="29">
        <v>4504</v>
      </c>
      <c r="AN38" s="29"/>
      <c r="AO38" s="18"/>
      <c r="AP38" s="18"/>
      <c r="AQ38" s="18"/>
      <c r="AR38" s="18"/>
      <c r="AS38" s="18"/>
      <c r="AT38" s="18"/>
      <c r="AU38" s="18"/>
      <c r="AV38" s="17"/>
      <c r="AW38" s="17"/>
      <c r="AX38" s="17"/>
      <c r="AY38" s="2"/>
      <c r="AZ38" s="17">
        <f t="shared" si="10"/>
        <v>0</v>
      </c>
      <c r="BA38" s="17">
        <f t="shared" si="10"/>
        <v>4504</v>
      </c>
    </row>
    <row r="39" spans="1:53" ht="12.9" outlineLevel="1" x14ac:dyDescent="0.5">
      <c r="A39" s="2" t="s">
        <v>32</v>
      </c>
      <c r="B39" s="2"/>
      <c r="C39" s="29"/>
      <c r="D39" s="29"/>
      <c r="E39" s="29"/>
      <c r="F39" s="29"/>
      <c r="G39" s="29"/>
      <c r="H39" s="29">
        <v>169</v>
      </c>
      <c r="I39" s="29">
        <v>-169</v>
      </c>
      <c r="J39" s="29"/>
      <c r="K39" s="29"/>
      <c r="L39" s="29"/>
      <c r="M39" s="29"/>
      <c r="N39" s="29"/>
      <c r="O39" s="29"/>
      <c r="P39" s="29"/>
      <c r="Q39" s="29">
        <v>712</v>
      </c>
      <c r="R39" s="29">
        <v>-986</v>
      </c>
      <c r="S39" s="29">
        <v>-71</v>
      </c>
      <c r="T39" s="29"/>
      <c r="U39" s="29"/>
      <c r="V39" s="29">
        <v>379</v>
      </c>
      <c r="W39" s="29">
        <v>158</v>
      </c>
      <c r="X39" s="29">
        <v>147</v>
      </c>
      <c r="Y39" s="29">
        <v>381</v>
      </c>
      <c r="Z39" s="29">
        <v>198</v>
      </c>
      <c r="AA39" s="29">
        <v>339</v>
      </c>
      <c r="AB39" s="29">
        <v>6</v>
      </c>
      <c r="AC39" s="29">
        <v>840</v>
      </c>
      <c r="AD39" s="29">
        <v>385</v>
      </c>
      <c r="AE39" s="29">
        <v>-19</v>
      </c>
      <c r="AF39" s="29">
        <v>29</v>
      </c>
      <c r="AG39" s="29">
        <v>451</v>
      </c>
      <c r="AH39" s="29">
        <v>0</v>
      </c>
      <c r="AI39" s="29">
        <v>324</v>
      </c>
      <c r="AJ39" s="29">
        <v>-12</v>
      </c>
      <c r="AK39" s="29">
        <v>562</v>
      </c>
      <c r="AL39" s="29">
        <v>265</v>
      </c>
      <c r="AM39" s="29">
        <v>45</v>
      </c>
      <c r="AN39" s="29">
        <v>1516</v>
      </c>
      <c r="AO39" s="18"/>
      <c r="AP39" s="18">
        <f t="shared" ref="AP39:AT40" si="11">SUMIFS($C39:$V39,$C$7:$V$7,AP$7)</f>
        <v>0</v>
      </c>
      <c r="AQ39" s="18">
        <f t="shared" si="11"/>
        <v>0</v>
      </c>
      <c r="AR39" s="18">
        <f t="shared" si="11"/>
        <v>0</v>
      </c>
      <c r="AS39" s="18">
        <f t="shared" si="11"/>
        <v>-274</v>
      </c>
      <c r="AT39" s="18">
        <f t="shared" si="11"/>
        <v>308</v>
      </c>
      <c r="AU39" s="18">
        <f>SUMIFS($C39:$Z39,$C$7:$Z$7,AU$7)</f>
        <v>884</v>
      </c>
      <c r="AV39" s="17">
        <f>SUMIFS($C39:$AD39,$C$7:$AD$7,AV$7)</f>
        <v>1570</v>
      </c>
      <c r="AW39" s="17">
        <f>SUMIFS($C39:$AH39,$C$7:$AH$7,AW$7)</f>
        <v>461</v>
      </c>
      <c r="AX39" s="17">
        <f>SUMIFS($C39:$AL39,$C$7:$AL$7,AX$7)</f>
        <v>1139</v>
      </c>
      <c r="AY39" s="2"/>
      <c r="AZ39" s="17">
        <f t="shared" si="10"/>
        <v>804</v>
      </c>
      <c r="BA39" s="17">
        <f t="shared" si="10"/>
        <v>860</v>
      </c>
    </row>
    <row r="40" spans="1:53" ht="12.9" outlineLevel="1" x14ac:dyDescent="0.5">
      <c r="A40" s="7" t="s">
        <v>33</v>
      </c>
      <c r="B40" s="2"/>
      <c r="C40" s="20">
        <f t="shared" ref="C40:AM40" si="12">C35-SUM(C36:C39)</f>
        <v>27706</v>
      </c>
      <c r="D40" s="20">
        <f t="shared" si="12"/>
        <v>32441</v>
      </c>
      <c r="E40" s="20">
        <f t="shared" si="12"/>
        <v>37911</v>
      </c>
      <c r="F40" s="20">
        <f t="shared" si="12"/>
        <v>35495</v>
      </c>
      <c r="G40" s="20">
        <f t="shared" si="12"/>
        <v>39504</v>
      </c>
      <c r="H40" s="20">
        <f t="shared" si="12"/>
        <v>41173</v>
      </c>
      <c r="I40" s="20">
        <f t="shared" si="12"/>
        <v>43356</v>
      </c>
      <c r="J40" s="20">
        <f t="shared" si="12"/>
        <v>39910</v>
      </c>
      <c r="K40" s="20">
        <f t="shared" si="12"/>
        <v>45514</v>
      </c>
      <c r="L40" s="20">
        <f t="shared" si="12"/>
        <v>49554</v>
      </c>
      <c r="M40" s="20">
        <f t="shared" si="12"/>
        <v>52707</v>
      </c>
      <c r="N40" s="20">
        <f t="shared" si="12"/>
        <v>58848</v>
      </c>
      <c r="O40" s="20">
        <f t="shared" si="12"/>
        <v>69140</v>
      </c>
      <c r="P40" s="20">
        <f t="shared" si="12"/>
        <v>75020</v>
      </c>
      <c r="Q40" s="20">
        <f t="shared" si="12"/>
        <v>87705</v>
      </c>
      <c r="R40" s="20">
        <f t="shared" si="12"/>
        <v>87980</v>
      </c>
      <c r="S40" s="20">
        <f t="shared" si="12"/>
        <v>101520</v>
      </c>
      <c r="T40" s="20">
        <f t="shared" si="12"/>
        <v>107468</v>
      </c>
      <c r="U40" s="20">
        <f t="shared" si="12"/>
        <v>101407</v>
      </c>
      <c r="V40" s="20">
        <f t="shared" si="12"/>
        <v>106623</v>
      </c>
      <c r="W40" s="20">
        <f t="shared" si="12"/>
        <v>125982</v>
      </c>
      <c r="X40" s="20">
        <f t="shared" si="12"/>
        <v>125322</v>
      </c>
      <c r="Y40" s="20">
        <f t="shared" si="12"/>
        <v>136941</v>
      </c>
      <c r="Z40" s="20">
        <f t="shared" si="12"/>
        <v>157774</v>
      </c>
      <c r="AA40" s="20">
        <f t="shared" si="12"/>
        <v>203082</v>
      </c>
      <c r="AB40" s="20">
        <f t="shared" si="12"/>
        <v>202491</v>
      </c>
      <c r="AC40" s="20">
        <f t="shared" si="12"/>
        <v>215693</v>
      </c>
      <c r="AD40" s="20">
        <f t="shared" si="12"/>
        <v>238328</v>
      </c>
      <c r="AE40" s="20">
        <f t="shared" si="12"/>
        <v>286317.08999999997</v>
      </c>
      <c r="AF40" s="20">
        <f t="shared" si="12"/>
        <v>311956</v>
      </c>
      <c r="AG40" s="20">
        <f t="shared" si="12"/>
        <v>331250</v>
      </c>
      <c r="AH40" s="20">
        <f t="shared" si="12"/>
        <v>381647</v>
      </c>
      <c r="AI40" s="20">
        <f t="shared" si="12"/>
        <v>398219</v>
      </c>
      <c r="AJ40" s="20">
        <f t="shared" si="12"/>
        <v>429444</v>
      </c>
      <c r="AK40" s="20">
        <f t="shared" si="12"/>
        <v>430462</v>
      </c>
      <c r="AL40" s="20">
        <f t="shared" si="12"/>
        <v>410587</v>
      </c>
      <c r="AM40" s="20">
        <f t="shared" si="12"/>
        <v>461474</v>
      </c>
      <c r="AN40" s="20">
        <v>443508</v>
      </c>
      <c r="AO40" s="20"/>
      <c r="AP40" s="20">
        <f t="shared" si="11"/>
        <v>133553</v>
      </c>
      <c r="AQ40" s="20">
        <f t="shared" si="11"/>
        <v>163943</v>
      </c>
      <c r="AR40" s="20">
        <f t="shared" si="11"/>
        <v>206623</v>
      </c>
      <c r="AS40" s="20">
        <f t="shared" si="11"/>
        <v>319845</v>
      </c>
      <c r="AT40" s="20">
        <f t="shared" si="11"/>
        <v>417018</v>
      </c>
      <c r="AU40" s="20">
        <f>SUMIFS($C40:$Z40,$C$7:$Z$7,AU$7)</f>
        <v>546019</v>
      </c>
      <c r="AV40" s="20">
        <f>AV35-SUM(AV36:AV39)</f>
        <v>859594</v>
      </c>
      <c r="AW40" s="20">
        <f>SUMIFS($C40:$AH40,$C$7:$AH$7,AW$7)</f>
        <v>1311170.0899999999</v>
      </c>
      <c r="AX40" s="20">
        <f>SUMIFS($C40:$AL40,$C$7:$AL$7,AX$7)</f>
        <v>1668712</v>
      </c>
      <c r="AY40" s="7"/>
      <c r="AZ40" s="20">
        <f t="shared" si="10"/>
        <v>1423072</v>
      </c>
      <c r="BA40" s="20">
        <f t="shared" si="10"/>
        <v>1731967</v>
      </c>
    </row>
    <row r="41" spans="1:53" ht="12.9" outlineLevel="1" x14ac:dyDescent="0.5">
      <c r="A41" s="2"/>
      <c r="B41" s="2"/>
      <c r="C41" s="2"/>
      <c r="D41" s="2"/>
      <c r="E41" s="2"/>
      <c r="F41" s="2"/>
      <c r="G41" s="2"/>
      <c r="H41" s="2"/>
      <c r="I41" s="2"/>
      <c r="J41" s="2"/>
      <c r="K41" s="2"/>
      <c r="L41" s="2"/>
      <c r="M41" s="2"/>
      <c r="N41" s="2"/>
      <c r="O41" s="2"/>
      <c r="P41" s="2"/>
      <c r="Q41" s="2"/>
      <c r="R41" s="2"/>
      <c r="S41" s="2"/>
      <c r="T41" s="17"/>
      <c r="U41" s="17"/>
      <c r="V41" s="17"/>
      <c r="W41" s="17"/>
      <c r="X41" s="17"/>
      <c r="Y41" s="17"/>
      <c r="Z41" s="17"/>
      <c r="AA41" s="17"/>
      <c r="AB41" s="17"/>
      <c r="AC41" s="17"/>
      <c r="AD41" s="17"/>
      <c r="AE41" s="37"/>
      <c r="AF41" s="37"/>
      <c r="AG41" s="37"/>
      <c r="AH41" s="37"/>
      <c r="AI41" s="37"/>
      <c r="AJ41" s="37"/>
      <c r="AK41" s="37"/>
      <c r="AL41" s="37"/>
      <c r="AM41" s="37"/>
      <c r="AN41" s="37"/>
      <c r="AO41" s="37"/>
      <c r="AP41" s="37"/>
      <c r="AQ41" s="37"/>
      <c r="AR41" s="37"/>
      <c r="AS41" s="37"/>
      <c r="AT41" s="37"/>
      <c r="AU41" s="40"/>
      <c r="AV41" s="40"/>
      <c r="AW41" s="40"/>
      <c r="AX41" s="40"/>
      <c r="AY41" s="2"/>
      <c r="AZ41" s="2"/>
      <c r="BA41" s="2"/>
    </row>
    <row r="42" spans="1:53" ht="12.9" outlineLevel="1" x14ac:dyDescent="0.5">
      <c r="A42" s="7" t="s">
        <v>34</v>
      </c>
      <c r="B42" s="2"/>
      <c r="C42" s="12">
        <f>'[23]GAAP IS'!C28</f>
        <v>36181</v>
      </c>
      <c r="D42" s="12">
        <f>'[23]GAAP IS'!D28</f>
        <v>31730</v>
      </c>
      <c r="E42" s="12">
        <f>'[23]GAAP IS'!E28</f>
        <v>39259</v>
      </c>
      <c r="F42" s="12">
        <f>'[23]GAAP IS'!F28</f>
        <v>38448</v>
      </c>
      <c r="G42" s="12">
        <f>'[23]GAAP IS'!G28</f>
        <v>38496</v>
      </c>
      <c r="H42" s="12">
        <f>'[23]GAAP IS'!H28</f>
        <v>39220</v>
      </c>
      <c r="I42" s="12">
        <f>'[23]GAAP IS'!I28</f>
        <v>46754</v>
      </c>
      <c r="J42" s="12">
        <f>'[23]GAAP IS'!J28</f>
        <v>49406</v>
      </c>
      <c r="K42" s="12">
        <f>'[23]GAAP IS'!K28</f>
        <v>49900</v>
      </c>
      <c r="L42" s="12">
        <f>'[23]GAAP IS'!L28</f>
        <v>59916</v>
      </c>
      <c r="M42" s="12">
        <f>'[23]GAAP IS'!M28</f>
        <v>66533</v>
      </c>
      <c r="N42" s="12">
        <f>'[23]GAAP IS'!N28</f>
        <v>76821</v>
      </c>
      <c r="O42" s="12">
        <f>'[23]GAAP IS'!O28</f>
        <v>77266</v>
      </c>
      <c r="P42" s="12">
        <f>'[23]GAAP IS'!P28</f>
        <v>98243</v>
      </c>
      <c r="Q42" s="12">
        <f>'[23]GAAP IS'!Q28</f>
        <v>116337</v>
      </c>
      <c r="R42" s="12">
        <f>'[23]GAAP IS'!R28</f>
        <v>119305</v>
      </c>
      <c r="S42" s="12">
        <f>'[23]GAAP IS'!S28</f>
        <v>133848</v>
      </c>
      <c r="T42" s="12">
        <f>'[23]GAAP IS'!T28</f>
        <v>156556</v>
      </c>
      <c r="U42" s="12">
        <f>'[23]GAAP IS'!U28</f>
        <v>149491</v>
      </c>
      <c r="V42" s="12">
        <f>'[23]GAAP IS'!V28</f>
        <v>185231</v>
      </c>
      <c r="W42" s="12">
        <f>'[23]GAAP IS'!W28</f>
        <v>194535</v>
      </c>
      <c r="X42" s="12">
        <f>'[23]GAAP IS'!X28</f>
        <v>238096</v>
      </c>
      <c r="Y42" s="12">
        <f>'[23]GAAP IS'!Y28</f>
        <v>348463</v>
      </c>
      <c r="Z42" s="12">
        <f>'[23]GAAP IS'!Z28</f>
        <v>328576</v>
      </c>
      <c r="AA42" s="12">
        <f>'[23]GAAP IS'!AA28</f>
        <v>349460</v>
      </c>
      <c r="AB42" s="12">
        <f>'[23]GAAP IS'!AB28</f>
        <v>373878</v>
      </c>
      <c r="AC42" s="12">
        <f>'[23]GAAP IS'!AC28</f>
        <v>409073</v>
      </c>
      <c r="AD42" s="12">
        <f>'[23]GAAP IS'!AD28</f>
        <v>484778</v>
      </c>
      <c r="AE42" s="12">
        <f>'[23]GAAP IS'!AE28</f>
        <v>501562</v>
      </c>
      <c r="AF42" s="12">
        <f>'[23]GAAP IS'!AF28</f>
        <v>530827</v>
      </c>
      <c r="AG42" s="12">
        <f>'[23]GAAP IS'!AG28</f>
        <v>485838</v>
      </c>
      <c r="AH42" s="12">
        <f>'[23]GAAP IS'!AH28</f>
        <v>539724</v>
      </c>
      <c r="AI42" s="12">
        <f>'[23]GAAP IS'!AI28</f>
        <v>496011</v>
      </c>
      <c r="AJ42" s="12">
        <f>'[23]GAAP IS'!AJ28</f>
        <v>537607</v>
      </c>
      <c r="AK42" s="12">
        <f>'[23]GAAP IS'!AK28</f>
        <v>479381</v>
      </c>
      <c r="AL42" s="12">
        <f>'[23]GAAP IS'!AL28</f>
        <v>506010</v>
      </c>
      <c r="AM42" s="12">
        <f>'[23]GAAP IS'!AM28</f>
        <v>443885</v>
      </c>
      <c r="AN42" s="12">
        <v>507562</v>
      </c>
      <c r="AO42" s="12"/>
      <c r="AP42" s="12">
        <f t="shared" ref="AP42:AT44" si="13">SUMIFS($C42:$V42,$C$7:$V$7,AP$7)</f>
        <v>145618</v>
      </c>
      <c r="AQ42" s="12">
        <f t="shared" si="13"/>
        <v>173876</v>
      </c>
      <c r="AR42" s="12">
        <f t="shared" si="13"/>
        <v>253170</v>
      </c>
      <c r="AS42" s="12">
        <f t="shared" si="13"/>
        <v>411151</v>
      </c>
      <c r="AT42" s="12">
        <f t="shared" si="13"/>
        <v>625126</v>
      </c>
      <c r="AU42" s="12">
        <f>SUMIFS($C42:$Z42,$C$7:$Z$7,AU$7)</f>
        <v>1109670</v>
      </c>
      <c r="AV42" s="12">
        <f>SUMIFS($C42:$AD42,$C$7:$AD$7,AV$7)</f>
        <v>1617189</v>
      </c>
      <c r="AW42" s="12">
        <f>SUMIFS($C42:$AH42,$C$7:$AH$7,AW$7)</f>
        <v>2057951</v>
      </c>
      <c r="AX42" s="12">
        <f>SUMIFS($C42:$AL42,$C$7:$AL$7,AX$7)</f>
        <v>2019009</v>
      </c>
      <c r="AY42" s="2"/>
      <c r="AZ42" s="12">
        <f t="shared" ref="AZ42:BA47" si="14">SUMIFS($C42:$AM42,$C$5:$AM$5,"&lt;="&amp;AZ$5,$C$5:$AM$5,"&gt;"&amp;EOMONTH(AZ$5,-12))</f>
        <v>2052400</v>
      </c>
      <c r="BA42" s="12">
        <f t="shared" si="14"/>
        <v>1966883</v>
      </c>
    </row>
    <row r="43" spans="1:53" ht="12.9" outlineLevel="1" x14ac:dyDescent="0.5">
      <c r="A43" s="2" t="s">
        <v>19</v>
      </c>
      <c r="B43" s="2"/>
      <c r="C43" s="29">
        <v>1429</v>
      </c>
      <c r="D43" s="29">
        <v>1345</v>
      </c>
      <c r="E43" s="29">
        <v>1750</v>
      </c>
      <c r="F43" s="29">
        <v>2836</v>
      </c>
      <c r="G43" s="29">
        <v>2903</v>
      </c>
      <c r="H43" s="29">
        <v>3363</v>
      </c>
      <c r="I43" s="29">
        <v>3697</v>
      </c>
      <c r="J43" s="29">
        <v>4159</v>
      </c>
      <c r="K43" s="29">
        <v>3935</v>
      </c>
      <c r="L43" s="29">
        <v>4355</v>
      </c>
      <c r="M43" s="29">
        <v>4579</v>
      </c>
      <c r="N43" s="29">
        <v>4699</v>
      </c>
      <c r="O43" s="29">
        <v>4961</v>
      </c>
      <c r="P43" s="29">
        <v>5634</v>
      </c>
      <c r="Q43" s="29">
        <v>6108</v>
      </c>
      <c r="R43" s="29">
        <v>6094</v>
      </c>
      <c r="S43" s="29">
        <v>6202</v>
      </c>
      <c r="T43" s="29">
        <v>7833</v>
      </c>
      <c r="U43" s="29">
        <v>6269</v>
      </c>
      <c r="V43" s="29">
        <v>6416</v>
      </c>
      <c r="W43" s="29">
        <v>6407</v>
      </c>
      <c r="X43" s="29">
        <v>8884</v>
      </c>
      <c r="Y43" s="29">
        <v>12063</v>
      </c>
      <c r="Z43" s="29">
        <v>9273</v>
      </c>
      <c r="AA43" s="29">
        <v>10880</v>
      </c>
      <c r="AB43" s="29">
        <v>13777</v>
      </c>
      <c r="AC43" s="29">
        <v>16023</v>
      </c>
      <c r="AD43" s="29">
        <v>16390</v>
      </c>
      <c r="AE43" s="29">
        <v>21256</v>
      </c>
      <c r="AF43" s="29">
        <v>25133</v>
      </c>
      <c r="AG43" s="29">
        <v>28744</v>
      </c>
      <c r="AH43" s="29">
        <v>30098</v>
      </c>
      <c r="AI43" s="29">
        <v>29365</v>
      </c>
      <c r="AJ43" s="29">
        <v>32790</v>
      </c>
      <c r="AK43" s="29">
        <v>35703</v>
      </c>
      <c r="AL43" s="29">
        <v>32807</v>
      </c>
      <c r="AM43" s="29">
        <v>30290</v>
      </c>
      <c r="AN43" s="29">
        <v>32176</v>
      </c>
      <c r="AO43" s="18"/>
      <c r="AP43" s="18">
        <f t="shared" si="13"/>
        <v>7360</v>
      </c>
      <c r="AQ43" s="18">
        <f t="shared" si="13"/>
        <v>14122</v>
      </c>
      <c r="AR43" s="18">
        <f t="shared" si="13"/>
        <v>17568</v>
      </c>
      <c r="AS43" s="18">
        <f t="shared" si="13"/>
        <v>22797</v>
      </c>
      <c r="AT43" s="18">
        <f t="shared" si="13"/>
        <v>26720</v>
      </c>
      <c r="AU43" s="18">
        <f>SUMIFS($C43:$Z43,$C$7:$Z$7,AU$7)</f>
        <v>36627</v>
      </c>
      <c r="AV43" s="17">
        <f>SUMIFS($C43:$AD43,$C$7:$AD$7,AV$7)</f>
        <v>57070</v>
      </c>
      <c r="AW43" s="17">
        <f>SUMIFS($C43:$AH43,$C$7:$AH$7,AW$7)</f>
        <v>105231</v>
      </c>
      <c r="AX43" s="17">
        <f>SUMIFS($C43:$AL43,$C$7:$AL$7,AX$7)</f>
        <v>130665</v>
      </c>
      <c r="AY43" s="2"/>
      <c r="AZ43" s="18">
        <f t="shared" si="14"/>
        <v>113340</v>
      </c>
      <c r="BA43" s="18">
        <f t="shared" si="14"/>
        <v>131590</v>
      </c>
    </row>
    <row r="44" spans="1:53" ht="12.9" outlineLevel="1" x14ac:dyDescent="0.5">
      <c r="A44" s="2" t="s">
        <v>20</v>
      </c>
      <c r="B44" s="2"/>
      <c r="C44" s="29">
        <v>4</v>
      </c>
      <c r="D44" s="29"/>
      <c r="E44" s="29">
        <v>3</v>
      </c>
      <c r="F44" s="29">
        <v>3</v>
      </c>
      <c r="G44" s="29">
        <v>2</v>
      </c>
      <c r="H44" s="29">
        <v>6</v>
      </c>
      <c r="I44" s="29">
        <v>5</v>
      </c>
      <c r="J44" s="29">
        <v>17</v>
      </c>
      <c r="K44" s="29">
        <v>77</v>
      </c>
      <c r="L44" s="29">
        <v>98</v>
      </c>
      <c r="M44" s="29">
        <v>650</v>
      </c>
      <c r="N44" s="29">
        <v>590</v>
      </c>
      <c r="O44" s="29">
        <v>609</v>
      </c>
      <c r="P44" s="29">
        <v>952</v>
      </c>
      <c r="Q44" s="29">
        <v>1608</v>
      </c>
      <c r="R44" s="29">
        <v>1238</v>
      </c>
      <c r="S44" s="29">
        <v>1078</v>
      </c>
      <c r="T44" s="29">
        <v>1085</v>
      </c>
      <c r="U44" s="29">
        <v>1093</v>
      </c>
      <c r="V44" s="29">
        <v>1188</v>
      </c>
      <c r="W44" s="29">
        <v>964</v>
      </c>
      <c r="X44" s="29">
        <v>1033</v>
      </c>
      <c r="Y44" s="29">
        <v>1060</v>
      </c>
      <c r="Z44" s="29">
        <v>1095</v>
      </c>
      <c r="AA44" s="29">
        <v>1273</v>
      </c>
      <c r="AB44" s="29">
        <v>2450</v>
      </c>
      <c r="AC44" s="29">
        <v>-7</v>
      </c>
      <c r="AD44" s="29">
        <v>1426</v>
      </c>
      <c r="AE44" s="29">
        <v>1491</v>
      </c>
      <c r="AF44" s="29">
        <v>1438</v>
      </c>
      <c r="AG44" s="29">
        <v>1591</v>
      </c>
      <c r="AH44" s="29">
        <v>1677</v>
      </c>
      <c r="AI44" s="29">
        <v>1458</v>
      </c>
      <c r="AJ44" s="29">
        <v>1970</v>
      </c>
      <c r="AK44" s="29">
        <v>1945</v>
      </c>
      <c r="AL44" s="29">
        <v>2219</v>
      </c>
      <c r="AM44" s="29">
        <v>1006</v>
      </c>
      <c r="AN44" s="29">
        <v>1198</v>
      </c>
      <c r="AO44" s="18"/>
      <c r="AP44" s="18">
        <f t="shared" si="13"/>
        <v>10</v>
      </c>
      <c r="AQ44" s="18">
        <f t="shared" si="13"/>
        <v>30</v>
      </c>
      <c r="AR44" s="18">
        <f t="shared" si="13"/>
        <v>1415</v>
      </c>
      <c r="AS44" s="18">
        <f t="shared" si="13"/>
        <v>4407</v>
      </c>
      <c r="AT44" s="18">
        <f t="shared" si="13"/>
        <v>4444</v>
      </c>
      <c r="AU44" s="18">
        <f>SUMIFS($C44:$Z44,$C$7:$Z$7,AU$7)</f>
        <v>4152</v>
      </c>
      <c r="AV44" s="17">
        <f>SUMIFS($C44:$AD44,$C$7:$AD$7,AV$7)</f>
        <v>5142</v>
      </c>
      <c r="AW44" s="17">
        <f>SUMIFS($C44:$AH44,$C$7:$AH$7,AW$7)</f>
        <v>6197</v>
      </c>
      <c r="AX44" s="17">
        <f>SUMIFS($C44:$AL44,$C$7:$AL$7,AX$7)</f>
        <v>7592</v>
      </c>
      <c r="AY44" s="2"/>
      <c r="AZ44" s="18">
        <f t="shared" si="14"/>
        <v>6164</v>
      </c>
      <c r="BA44" s="18">
        <f t="shared" si="14"/>
        <v>7140</v>
      </c>
    </row>
    <row r="45" spans="1:53" ht="12.9" outlineLevel="1" x14ac:dyDescent="0.5">
      <c r="A45" s="2" t="s">
        <v>23</v>
      </c>
      <c r="B45" s="2"/>
      <c r="C45" s="29"/>
      <c r="D45" s="29"/>
      <c r="E45" s="29"/>
      <c r="F45" s="29"/>
      <c r="G45" s="29"/>
      <c r="H45" s="29"/>
      <c r="I45" s="29"/>
      <c r="J45" s="29"/>
      <c r="K45" s="29"/>
      <c r="L45" s="29"/>
      <c r="M45" s="29"/>
      <c r="N45" s="29"/>
      <c r="O45" s="29"/>
      <c r="P45" s="29"/>
      <c r="Q45" s="29"/>
      <c r="R45" s="29"/>
      <c r="S45" s="29"/>
      <c r="T45" s="29"/>
      <c r="U45" s="29"/>
      <c r="V45" s="29"/>
      <c r="W45" s="29"/>
      <c r="X45" s="29"/>
      <c r="Y45" s="29"/>
      <c r="Z45" s="29"/>
      <c r="AA45" s="29"/>
      <c r="AB45" s="29"/>
      <c r="AC45" s="29"/>
      <c r="AD45" s="29"/>
      <c r="AE45" s="29"/>
      <c r="AF45" s="29"/>
      <c r="AG45" s="29"/>
      <c r="AH45" s="29"/>
      <c r="AI45" s="29"/>
      <c r="AJ45" s="29"/>
      <c r="AK45" s="29"/>
      <c r="AL45" s="29"/>
      <c r="AM45" s="29">
        <v>1078</v>
      </c>
      <c r="AN45" s="29"/>
      <c r="AO45" s="18"/>
      <c r="AP45" s="18"/>
      <c r="AQ45" s="18"/>
      <c r="AR45" s="18"/>
      <c r="AS45" s="18"/>
      <c r="AT45" s="18"/>
      <c r="AU45" s="18"/>
      <c r="AV45" s="17"/>
      <c r="AW45" s="17"/>
      <c r="AX45" s="17"/>
      <c r="AY45" s="2"/>
      <c r="AZ45" s="18">
        <f t="shared" si="14"/>
        <v>0</v>
      </c>
      <c r="BA45" s="18">
        <f t="shared" si="14"/>
        <v>1078</v>
      </c>
    </row>
    <row r="46" spans="1:53" ht="12.9" outlineLevel="1" x14ac:dyDescent="0.5">
      <c r="A46" s="2" t="s">
        <v>32</v>
      </c>
      <c r="B46" s="2"/>
      <c r="C46" s="29"/>
      <c r="D46" s="29"/>
      <c r="E46" s="29"/>
      <c r="F46" s="29">
        <v>53</v>
      </c>
      <c r="G46" s="29">
        <v>18</v>
      </c>
      <c r="H46" s="29"/>
      <c r="I46" s="29">
        <v>14</v>
      </c>
      <c r="J46" s="29">
        <v>41</v>
      </c>
      <c r="K46" s="29">
        <v>58</v>
      </c>
      <c r="L46" s="29">
        <v>2</v>
      </c>
      <c r="M46" s="29">
        <v>62</v>
      </c>
      <c r="N46" s="29">
        <v>36</v>
      </c>
      <c r="O46" s="29">
        <v>4</v>
      </c>
      <c r="P46" s="29">
        <v>76</v>
      </c>
      <c r="Q46" s="29">
        <v>91</v>
      </c>
      <c r="R46" s="29">
        <v>68</v>
      </c>
      <c r="S46" s="29">
        <v>151</v>
      </c>
      <c r="T46" s="29">
        <v>194</v>
      </c>
      <c r="U46" s="29">
        <v>83</v>
      </c>
      <c r="V46" s="29">
        <v>95</v>
      </c>
      <c r="W46" s="29">
        <v>60</v>
      </c>
      <c r="X46" s="29">
        <v>-59</v>
      </c>
      <c r="Y46" s="29"/>
      <c r="Z46" s="29">
        <v>-3</v>
      </c>
      <c r="AA46" s="29">
        <v>0</v>
      </c>
      <c r="AB46" s="29">
        <v>0</v>
      </c>
      <c r="AC46" s="29">
        <v>0</v>
      </c>
      <c r="AD46" s="29">
        <v>0</v>
      </c>
      <c r="AE46" s="29">
        <v>420</v>
      </c>
      <c r="AF46" s="29">
        <v>80</v>
      </c>
      <c r="AG46" s="29">
        <v>-448</v>
      </c>
      <c r="AH46" s="29">
        <v>192</v>
      </c>
      <c r="AI46" s="29">
        <v>0</v>
      </c>
      <c r="AJ46" s="29">
        <v>0</v>
      </c>
      <c r="AK46" s="29">
        <v>0</v>
      </c>
      <c r="AL46" s="29">
        <v>993</v>
      </c>
      <c r="AM46" s="29">
        <v>-8</v>
      </c>
      <c r="AN46" s="29"/>
      <c r="AO46" s="18"/>
      <c r="AP46" s="18">
        <f t="shared" ref="AP46:AT47" si="15">SUMIFS($C46:$V46,$C$7:$V$7,AP$7)</f>
        <v>53</v>
      </c>
      <c r="AQ46" s="18">
        <f t="shared" si="15"/>
        <v>73</v>
      </c>
      <c r="AR46" s="18">
        <f t="shared" si="15"/>
        <v>158</v>
      </c>
      <c r="AS46" s="18">
        <f t="shared" si="15"/>
        <v>239</v>
      </c>
      <c r="AT46" s="18">
        <f t="shared" si="15"/>
        <v>523</v>
      </c>
      <c r="AU46" s="18">
        <f>SUMIFS($C46:$Z46,$C$7:$Z$7,AU$7)</f>
        <v>-2</v>
      </c>
      <c r="AV46" s="17">
        <f>SUMIFS($C46:$AD46,$C$7:$AD$7,AV$7)</f>
        <v>0</v>
      </c>
      <c r="AW46" s="17">
        <f>SUMIFS($C46:$AH46,$C$7:$AH$7,AW$7)</f>
        <v>244</v>
      </c>
      <c r="AX46" s="17">
        <f>SUMIFS($C46:$AL46,$C$7:$AL$7,AX$7)</f>
        <v>993</v>
      </c>
      <c r="AY46" s="2"/>
      <c r="AZ46" s="18">
        <f t="shared" si="14"/>
        <v>-176</v>
      </c>
      <c r="BA46" s="18">
        <f t="shared" si="14"/>
        <v>985</v>
      </c>
    </row>
    <row r="47" spans="1:53" ht="12.9" outlineLevel="1" x14ac:dyDescent="0.5">
      <c r="A47" s="7" t="s">
        <v>35</v>
      </c>
      <c r="B47" s="2"/>
      <c r="C47" s="20">
        <f t="shared" ref="C47:AM47" si="16">C42-SUM(C43:C46)</f>
        <v>34748</v>
      </c>
      <c r="D47" s="20">
        <f t="shared" si="16"/>
        <v>30385</v>
      </c>
      <c r="E47" s="20">
        <f t="shared" si="16"/>
        <v>37506</v>
      </c>
      <c r="F47" s="20">
        <f t="shared" si="16"/>
        <v>35556</v>
      </c>
      <c r="G47" s="20">
        <f t="shared" si="16"/>
        <v>35573</v>
      </c>
      <c r="H47" s="20">
        <f t="shared" si="16"/>
        <v>35851</v>
      </c>
      <c r="I47" s="20">
        <f t="shared" si="16"/>
        <v>43038</v>
      </c>
      <c r="J47" s="20">
        <f t="shared" si="16"/>
        <v>45189</v>
      </c>
      <c r="K47" s="20">
        <f t="shared" si="16"/>
        <v>45830</v>
      </c>
      <c r="L47" s="20">
        <f t="shared" si="16"/>
        <v>55461</v>
      </c>
      <c r="M47" s="20">
        <f t="shared" si="16"/>
        <v>61242</v>
      </c>
      <c r="N47" s="20">
        <f t="shared" si="16"/>
        <v>71496</v>
      </c>
      <c r="O47" s="20">
        <f t="shared" si="16"/>
        <v>71692</v>
      </c>
      <c r="P47" s="20">
        <f t="shared" si="16"/>
        <v>91581</v>
      </c>
      <c r="Q47" s="20">
        <f t="shared" si="16"/>
        <v>108530</v>
      </c>
      <c r="R47" s="20">
        <f t="shared" si="16"/>
        <v>111905</v>
      </c>
      <c r="S47" s="20">
        <f t="shared" si="16"/>
        <v>126417</v>
      </c>
      <c r="T47" s="20">
        <f t="shared" si="16"/>
        <v>147444</v>
      </c>
      <c r="U47" s="20">
        <f t="shared" si="16"/>
        <v>142046</v>
      </c>
      <c r="V47" s="20">
        <f t="shared" si="16"/>
        <v>177532</v>
      </c>
      <c r="W47" s="20">
        <f t="shared" si="16"/>
        <v>187104</v>
      </c>
      <c r="X47" s="20">
        <f t="shared" si="16"/>
        <v>228238</v>
      </c>
      <c r="Y47" s="20">
        <f t="shared" si="16"/>
        <v>335340</v>
      </c>
      <c r="Z47" s="20">
        <f t="shared" si="16"/>
        <v>318211</v>
      </c>
      <c r="AA47" s="20">
        <f t="shared" si="16"/>
        <v>337307</v>
      </c>
      <c r="AB47" s="20">
        <f t="shared" si="16"/>
        <v>357651</v>
      </c>
      <c r="AC47" s="20">
        <f t="shared" si="16"/>
        <v>393057</v>
      </c>
      <c r="AD47" s="20">
        <f t="shared" si="16"/>
        <v>466962</v>
      </c>
      <c r="AE47" s="20">
        <f t="shared" si="16"/>
        <v>478395</v>
      </c>
      <c r="AF47" s="20">
        <f t="shared" si="16"/>
        <v>504176</v>
      </c>
      <c r="AG47" s="20">
        <f t="shared" si="16"/>
        <v>455951</v>
      </c>
      <c r="AH47" s="20">
        <f t="shared" si="16"/>
        <v>507757</v>
      </c>
      <c r="AI47" s="20">
        <f t="shared" si="16"/>
        <v>465188</v>
      </c>
      <c r="AJ47" s="20">
        <f t="shared" si="16"/>
        <v>502847</v>
      </c>
      <c r="AK47" s="20">
        <f t="shared" si="16"/>
        <v>441733</v>
      </c>
      <c r="AL47" s="20">
        <f t="shared" si="16"/>
        <v>469991</v>
      </c>
      <c r="AM47" s="20">
        <f t="shared" si="16"/>
        <v>411519</v>
      </c>
      <c r="AN47" s="20">
        <v>474188</v>
      </c>
      <c r="AO47" s="20"/>
      <c r="AP47" s="20">
        <f t="shared" si="15"/>
        <v>138195</v>
      </c>
      <c r="AQ47" s="20">
        <f t="shared" si="15"/>
        <v>159651</v>
      </c>
      <c r="AR47" s="20">
        <f t="shared" si="15"/>
        <v>234029</v>
      </c>
      <c r="AS47" s="20">
        <f t="shared" si="15"/>
        <v>383708</v>
      </c>
      <c r="AT47" s="20">
        <f t="shared" si="15"/>
        <v>593439</v>
      </c>
      <c r="AU47" s="20">
        <f>SUMIFS($C47:$Z47,$C$7:$Z$7,AU$7)</f>
        <v>1068893</v>
      </c>
      <c r="AV47" s="20">
        <f>AV42-SUM(AV43:AV46)</f>
        <v>1554977</v>
      </c>
      <c r="AW47" s="20">
        <f>SUMIFS($C47:$AH47,$C$7:$AH$7,AW$7)</f>
        <v>1946279</v>
      </c>
      <c r="AX47" s="20">
        <f>SUMIFS($C47:$AL47,$C$7:$AL$7,AX$7)</f>
        <v>1879759</v>
      </c>
      <c r="AY47" s="7"/>
      <c r="AZ47" s="20">
        <f t="shared" si="14"/>
        <v>1933072</v>
      </c>
      <c r="BA47" s="20">
        <f t="shared" si="14"/>
        <v>1826090</v>
      </c>
    </row>
    <row r="48" spans="1:53" ht="12.9" outlineLevel="1" x14ac:dyDescent="0.5">
      <c r="A48" s="7"/>
      <c r="B48" s="2"/>
      <c r="C48" s="41"/>
      <c r="D48" s="41"/>
      <c r="E48" s="41"/>
      <c r="F48" s="41"/>
      <c r="G48" s="41"/>
      <c r="H48" s="41"/>
      <c r="I48" s="41"/>
      <c r="J48" s="41"/>
      <c r="K48" s="41"/>
      <c r="L48" s="41"/>
      <c r="M48" s="41"/>
      <c r="N48" s="41"/>
      <c r="O48" s="41"/>
      <c r="P48" s="41"/>
      <c r="Q48" s="41"/>
      <c r="R48" s="41"/>
      <c r="S48" s="41"/>
      <c r="T48" s="17"/>
      <c r="U48" s="17"/>
      <c r="V48" s="17"/>
      <c r="W48" s="17"/>
      <c r="X48" s="17"/>
      <c r="Y48" s="17"/>
      <c r="Z48" s="26"/>
      <c r="AA48" s="26"/>
      <c r="AB48" s="26"/>
      <c r="AC48" s="26"/>
      <c r="AD48" s="26"/>
      <c r="AE48" s="17"/>
      <c r="AF48" s="17"/>
      <c r="AG48" s="17"/>
      <c r="AH48" s="17"/>
      <c r="AI48" s="17"/>
      <c r="AJ48" s="17"/>
      <c r="AK48" s="17"/>
      <c r="AL48" s="17"/>
      <c r="AM48" s="17"/>
      <c r="AN48" s="17"/>
      <c r="AO48" s="17"/>
      <c r="AP48" s="17"/>
      <c r="AQ48" s="17"/>
      <c r="AR48" s="17"/>
      <c r="AS48" s="17"/>
      <c r="AT48" s="17"/>
      <c r="AU48" s="17"/>
      <c r="AV48" s="17"/>
      <c r="AW48" s="17"/>
      <c r="AX48" s="17"/>
      <c r="AY48" s="2"/>
      <c r="AZ48" s="2"/>
      <c r="BA48" s="2"/>
    </row>
    <row r="49" spans="1:53" ht="12.9" outlineLevel="1" x14ac:dyDescent="0.5">
      <c r="A49" s="42" t="s">
        <v>36</v>
      </c>
      <c r="B49" s="18"/>
      <c r="C49" s="12">
        <f>'[23]GAAP IS'!C29</f>
        <v>28119</v>
      </c>
      <c r="D49" s="12">
        <f>'[23]GAAP IS'!D29</f>
        <v>31804</v>
      </c>
      <c r="E49" s="12">
        <f>'[23]GAAP IS'!E29</f>
        <v>37820</v>
      </c>
      <c r="F49" s="12">
        <f>'[23]GAAP IS'!F29</f>
        <v>45723</v>
      </c>
      <c r="G49" s="12">
        <f>'[23]GAAP IS'!G29</f>
        <v>96107</v>
      </c>
      <c r="H49" s="12">
        <f>'[23]GAAP IS'!H29</f>
        <v>50784</v>
      </c>
      <c r="I49" s="12">
        <f>'[23]GAAP IS'!I29</f>
        <v>52075</v>
      </c>
      <c r="J49" s="12">
        <f>'[23]GAAP IS'!J29</f>
        <v>53027</v>
      </c>
      <c r="K49" s="12">
        <f>'[23]GAAP IS'!K29</f>
        <v>56935</v>
      </c>
      <c r="L49" s="12">
        <f>'[23]GAAP IS'!L29</f>
        <v>62988</v>
      </c>
      <c r="M49" s="12">
        <f>'[23]GAAP IS'!M29</f>
        <v>64312</v>
      </c>
      <c r="N49" s="12">
        <f>'[23]GAAP IS'!N29</f>
        <v>66318</v>
      </c>
      <c r="O49" s="12">
        <f>'[23]GAAP IS'!O29</f>
        <v>75501</v>
      </c>
      <c r="P49" s="12">
        <f>'[23]GAAP IS'!P29</f>
        <v>82772</v>
      </c>
      <c r="Q49" s="12">
        <f>'[23]GAAP IS'!Q29</f>
        <v>85527</v>
      </c>
      <c r="R49" s="12">
        <f>'[23]GAAP IS'!R29</f>
        <v>95445</v>
      </c>
      <c r="S49" s="12">
        <f>'[23]GAAP IS'!S29</f>
        <v>101867</v>
      </c>
      <c r="T49" s="12">
        <f>'[23]GAAP IS'!T29</f>
        <v>100778</v>
      </c>
      <c r="U49" s="12">
        <f>'[23]GAAP IS'!U29</f>
        <v>116069</v>
      </c>
      <c r="V49" s="12">
        <f>'[23]GAAP IS'!V29</f>
        <v>118164</v>
      </c>
      <c r="W49" s="12">
        <f>'[23]GAAP IS'!W29</f>
        <v>129495</v>
      </c>
      <c r="X49" s="12">
        <f>'[23]GAAP IS'!X29</f>
        <v>136386</v>
      </c>
      <c r="Y49" s="12">
        <f>'[23]GAAP IS'!Y29</f>
        <v>153902</v>
      </c>
      <c r="Z49" s="12">
        <f>'[23]GAAP IS'!Z29</f>
        <v>159420</v>
      </c>
      <c r="AA49" s="12">
        <f>'[23]GAAP IS'!AA29</f>
        <v>195783</v>
      </c>
      <c r="AB49" s="12">
        <f>'[23]GAAP IS'!AB29</f>
        <v>220892</v>
      </c>
      <c r="AC49" s="12">
        <f>'[23]GAAP IS'!AC29</f>
        <v>267348</v>
      </c>
      <c r="AD49" s="12">
        <f>'[23]GAAP IS'!AD29</f>
        <v>298794</v>
      </c>
      <c r="AE49" s="12">
        <f>'[23]GAAP IS'!AE29</f>
        <v>444149</v>
      </c>
      <c r="AF49" s="12">
        <f>'[23]GAAP IS'!AF29</f>
        <v>395720</v>
      </c>
      <c r="AG49" s="12">
        <f>'[23]GAAP IS'!AG29</f>
        <v>395437</v>
      </c>
      <c r="AH49" s="12">
        <f>'[23]GAAP IS'!AH29</f>
        <v>451543</v>
      </c>
      <c r="AI49" s="12">
        <f>'[23]GAAP IS'!AI29</f>
        <v>432825</v>
      </c>
      <c r="AJ49" s="12">
        <f>'[23]GAAP IS'!AJ29</f>
        <v>549293</v>
      </c>
      <c r="AK49" s="12">
        <f>'[23]GAAP IS'!AK29</f>
        <v>480885</v>
      </c>
      <c r="AL49" s="12">
        <f>'[23]GAAP IS'!AL29</f>
        <v>746187</v>
      </c>
      <c r="AM49" s="12">
        <f>'[23]GAAP IS'!AM29</f>
        <v>471260</v>
      </c>
      <c r="AN49" s="12">
        <v>473568</v>
      </c>
      <c r="AO49" s="12"/>
      <c r="AP49" s="12">
        <f t="shared" ref="AP49:AT51" si="17">SUMIFS($C49:$V49,$C$7:$V$7,AP$7)</f>
        <v>143466</v>
      </c>
      <c r="AQ49" s="12">
        <f t="shared" si="17"/>
        <v>251993</v>
      </c>
      <c r="AR49" s="12">
        <f t="shared" si="17"/>
        <v>250553</v>
      </c>
      <c r="AS49" s="12">
        <f t="shared" si="17"/>
        <v>339245</v>
      </c>
      <c r="AT49" s="12">
        <f t="shared" si="17"/>
        <v>436878</v>
      </c>
      <c r="AU49" s="12">
        <f>SUMIFS($C49:$Z49,$C$7:$Z$7,AU$7)</f>
        <v>579203</v>
      </c>
      <c r="AV49" s="12">
        <f>SUMIFS($C49:$AD49,$C$7:$AD$7,AV$7)</f>
        <v>982817</v>
      </c>
      <c r="AW49" s="12">
        <f>SUMIFS($C49:$AH49,$C$7:$AH$7,AW$7)</f>
        <v>1686849</v>
      </c>
      <c r="AX49" s="12">
        <f t="shared" ref="AX49:AX54" si="18">SUMIFS($C49:$AL49,$C$7:$AL$7,AX$7)</f>
        <v>2209190</v>
      </c>
      <c r="AY49" s="2"/>
      <c r="AZ49" s="12">
        <f t="shared" ref="AZ49:BA58" si="19">SUMIFS($C49:$AM49,$C$5:$AM$5,"&lt;="&amp;AZ$5,$C$5:$AM$5,"&gt;"&amp;EOMONTH(AZ$5,-12))</f>
        <v>1675525</v>
      </c>
      <c r="BA49" s="12">
        <f t="shared" si="19"/>
        <v>2247625</v>
      </c>
    </row>
    <row r="50" spans="1:53" ht="12.9" outlineLevel="1" x14ac:dyDescent="0.5">
      <c r="A50" s="18" t="s">
        <v>19</v>
      </c>
      <c r="B50" s="18"/>
      <c r="C50" s="29">
        <v>3074</v>
      </c>
      <c r="D50" s="29">
        <v>3496</v>
      </c>
      <c r="E50" s="29">
        <v>5105</v>
      </c>
      <c r="F50" s="29">
        <v>8519</v>
      </c>
      <c r="G50" s="29">
        <v>6348</v>
      </c>
      <c r="H50" s="29">
        <v>9391</v>
      </c>
      <c r="I50" s="29">
        <v>9133</v>
      </c>
      <c r="J50" s="29">
        <v>8388</v>
      </c>
      <c r="K50" s="29">
        <v>8379</v>
      </c>
      <c r="L50" s="29">
        <v>10084</v>
      </c>
      <c r="M50" s="29">
        <v>10186</v>
      </c>
      <c r="N50" s="29">
        <v>11232</v>
      </c>
      <c r="O50" s="29">
        <v>11350</v>
      </c>
      <c r="P50" s="29">
        <v>12649</v>
      </c>
      <c r="Q50" s="29">
        <v>13262</v>
      </c>
      <c r="R50" s="29">
        <v>12125</v>
      </c>
      <c r="S50" s="29">
        <v>12216</v>
      </c>
      <c r="T50" s="29">
        <v>15460</v>
      </c>
      <c r="U50" s="29">
        <v>14798</v>
      </c>
      <c r="V50" s="29">
        <v>17674</v>
      </c>
      <c r="W50" s="29">
        <v>13420</v>
      </c>
      <c r="X50" s="29">
        <v>17636</v>
      </c>
      <c r="Y50" s="29">
        <v>19544</v>
      </c>
      <c r="Z50" s="29">
        <v>20352</v>
      </c>
      <c r="AA50" s="29">
        <v>20749</v>
      </c>
      <c r="AB50" s="29">
        <v>26315</v>
      </c>
      <c r="AC50" s="29">
        <v>27680</v>
      </c>
      <c r="AD50" s="29">
        <v>29222</v>
      </c>
      <c r="AE50" s="29">
        <v>108983</v>
      </c>
      <c r="AF50" s="29">
        <v>52229</v>
      </c>
      <c r="AG50" s="29">
        <v>49316</v>
      </c>
      <c r="AH50" s="29">
        <v>51321</v>
      </c>
      <c r="AI50" s="29">
        <v>52227</v>
      </c>
      <c r="AJ50" s="29">
        <v>62905</v>
      </c>
      <c r="AK50" s="29">
        <v>64600</v>
      </c>
      <c r="AL50" s="29">
        <v>62969</v>
      </c>
      <c r="AM50" s="29">
        <v>56618</v>
      </c>
      <c r="AN50" s="29">
        <v>58681</v>
      </c>
      <c r="AO50" s="18"/>
      <c r="AP50" s="18">
        <f t="shared" si="17"/>
        <v>20194</v>
      </c>
      <c r="AQ50" s="18">
        <f t="shared" si="17"/>
        <v>33260</v>
      </c>
      <c r="AR50" s="18">
        <f t="shared" si="17"/>
        <v>39881</v>
      </c>
      <c r="AS50" s="18">
        <f t="shared" si="17"/>
        <v>49386</v>
      </c>
      <c r="AT50" s="18">
        <f t="shared" si="17"/>
        <v>60148</v>
      </c>
      <c r="AU50" s="18">
        <f>SUMIFS($C50:$Z50,$C$7:$Z$7,AU$7)</f>
        <v>70952</v>
      </c>
      <c r="AV50" s="17">
        <f>SUMIFS($C50:$AD50,$C$7:$AD$7,AV$7)</f>
        <v>103966</v>
      </c>
      <c r="AW50" s="17">
        <f>SUMIFS($C50:$AH50,$C$7:$AH$7,AW$7)</f>
        <v>261849</v>
      </c>
      <c r="AX50" s="17">
        <f t="shared" si="18"/>
        <v>242701</v>
      </c>
      <c r="AY50" s="2"/>
      <c r="AZ50" s="18">
        <f t="shared" si="19"/>
        <v>205093</v>
      </c>
      <c r="BA50" s="18">
        <f t="shared" si="19"/>
        <v>247092</v>
      </c>
    </row>
    <row r="51" spans="1:53" ht="12.9" outlineLevel="1" x14ac:dyDescent="0.5">
      <c r="A51" s="2" t="s">
        <v>21</v>
      </c>
      <c r="B51" s="18"/>
      <c r="C51" s="29"/>
      <c r="D51" s="29"/>
      <c r="E51" s="29"/>
      <c r="F51" s="29"/>
      <c r="G51" s="29"/>
      <c r="H51" s="29"/>
      <c r="I51" s="29"/>
      <c r="J51" s="29"/>
      <c r="K51" s="29"/>
      <c r="L51" s="29"/>
      <c r="M51" s="29"/>
      <c r="N51" s="29"/>
      <c r="O51" s="29"/>
      <c r="P51" s="29">
        <v>4363</v>
      </c>
      <c r="Q51" s="29">
        <v>345</v>
      </c>
      <c r="R51" s="29"/>
      <c r="S51" s="29">
        <v>782</v>
      </c>
      <c r="T51" s="29">
        <v>6133</v>
      </c>
      <c r="U51" s="29">
        <v>1564</v>
      </c>
      <c r="V51" s="29">
        <v>1260</v>
      </c>
      <c r="W51" s="29">
        <v>1524</v>
      </c>
      <c r="X51" s="29">
        <v>2056</v>
      </c>
      <c r="Y51" s="29">
        <v>359</v>
      </c>
      <c r="Z51" s="29">
        <v>3543</v>
      </c>
      <c r="AA51" s="29">
        <v>26</v>
      </c>
      <c r="AB51" s="29">
        <v>14292</v>
      </c>
      <c r="AC51" s="29">
        <v>308</v>
      </c>
      <c r="AD51" s="29">
        <v>20848</v>
      </c>
      <c r="AE51" s="29">
        <v>76065</v>
      </c>
      <c r="AF51" s="29">
        <v>17067</v>
      </c>
      <c r="AG51" s="29">
        <v>23470</v>
      </c>
      <c r="AH51" s="29">
        <v>40662</v>
      </c>
      <c r="AI51" s="29">
        <v>1551</v>
      </c>
      <c r="AJ51" s="29">
        <v>102349</v>
      </c>
      <c r="AK51" s="29">
        <v>24812</v>
      </c>
      <c r="AL51" s="29">
        <v>5118</v>
      </c>
      <c r="AM51" s="29">
        <v>32512</v>
      </c>
      <c r="AN51" s="29">
        <v>15350</v>
      </c>
      <c r="AO51" s="18"/>
      <c r="AP51" s="18"/>
      <c r="AQ51" s="18"/>
      <c r="AR51" s="18"/>
      <c r="AS51" s="18">
        <f t="shared" si="17"/>
        <v>4708</v>
      </c>
      <c r="AT51" s="18">
        <f t="shared" si="17"/>
        <v>9739</v>
      </c>
      <c r="AU51" s="18">
        <f>SUMIFS($C51:$Z51,$C$7:$Z$7,AU$7)</f>
        <v>7482</v>
      </c>
      <c r="AV51" s="17">
        <f>SUMIFS($C51:$AD51,$C$7:$AD$7,AV$7)</f>
        <v>35474</v>
      </c>
      <c r="AW51" s="17">
        <f>SUMIFS($C51:$AH51,$C$7:$AH$7,AW$7)</f>
        <v>157264</v>
      </c>
      <c r="AX51" s="17">
        <f t="shared" si="18"/>
        <v>133830</v>
      </c>
      <c r="AY51" s="2"/>
      <c r="AZ51" s="18">
        <f t="shared" si="19"/>
        <v>82750</v>
      </c>
      <c r="BA51" s="18">
        <f t="shared" si="19"/>
        <v>164791</v>
      </c>
    </row>
    <row r="52" spans="1:53" ht="12.9" outlineLevel="1" x14ac:dyDescent="0.5">
      <c r="A52" s="18" t="s">
        <v>20</v>
      </c>
      <c r="B52" s="18"/>
      <c r="C52" s="29">
        <v>1590</v>
      </c>
      <c r="D52" s="29">
        <v>1731</v>
      </c>
      <c r="E52" s="29">
        <v>1831</v>
      </c>
      <c r="F52" s="29">
        <v>2538</v>
      </c>
      <c r="G52" s="29">
        <v>2729</v>
      </c>
      <c r="H52" s="29">
        <v>3217</v>
      </c>
      <c r="I52" s="29">
        <v>3779</v>
      </c>
      <c r="J52" s="29">
        <v>3741</v>
      </c>
      <c r="K52" s="29">
        <v>3537</v>
      </c>
      <c r="L52" s="29">
        <v>3644</v>
      </c>
      <c r="M52" s="29">
        <v>2040</v>
      </c>
      <c r="N52" s="29">
        <v>2070</v>
      </c>
      <c r="O52" s="29">
        <v>2229</v>
      </c>
      <c r="P52" s="29">
        <v>2644</v>
      </c>
      <c r="Q52" s="29">
        <v>2482</v>
      </c>
      <c r="R52" s="29">
        <v>3360</v>
      </c>
      <c r="S52" s="29">
        <v>2931</v>
      </c>
      <c r="T52" s="29">
        <v>3016</v>
      </c>
      <c r="U52" s="29">
        <v>3055</v>
      </c>
      <c r="V52" s="29">
        <v>3167</v>
      </c>
      <c r="W52" s="29">
        <v>3445</v>
      </c>
      <c r="X52" s="29">
        <v>4154</v>
      </c>
      <c r="Y52" s="29">
        <v>3918</v>
      </c>
      <c r="Z52" s="29">
        <v>4147</v>
      </c>
      <c r="AA52" s="29">
        <v>4770</v>
      </c>
      <c r="AB52" s="29">
        <v>5139</v>
      </c>
      <c r="AC52" s="29">
        <v>8780</v>
      </c>
      <c r="AD52" s="29">
        <v>8287</v>
      </c>
      <c r="AE52" s="29">
        <v>7352</v>
      </c>
      <c r="AF52" s="29">
        <v>13036</v>
      </c>
      <c r="AG52" s="29">
        <v>11129</v>
      </c>
      <c r="AH52" s="29">
        <v>15578</v>
      </c>
      <c r="AI52" s="29">
        <v>16879</v>
      </c>
      <c r="AJ52" s="29">
        <v>6228</v>
      </c>
      <c r="AK52" s="29">
        <v>11719</v>
      </c>
      <c r="AL52" s="29">
        <v>13690</v>
      </c>
      <c r="AM52" s="29">
        <v>9456</v>
      </c>
      <c r="AN52" s="29">
        <v>9733</v>
      </c>
      <c r="AO52" s="18"/>
      <c r="AP52" s="18">
        <f>SUMIFS($C52:$V52,$C$7:$V$7,AP$7)</f>
        <v>7690</v>
      </c>
      <c r="AQ52" s="18">
        <f>SUMIFS($C52:$V52,$C$7:$V$7,AQ$7)</f>
        <v>13466</v>
      </c>
      <c r="AR52" s="18">
        <f>SUMIFS($C52:$V52,$C$7:$V$7,AR$7)</f>
        <v>11291</v>
      </c>
      <c r="AS52" s="18">
        <f>SUMIFS($C52:$V52,$C$7:$V$7,AS$7)</f>
        <v>10715</v>
      </c>
      <c r="AT52" s="18">
        <f>SUMIFS($C52:$V52,$C$7:$V$7,AT$7)</f>
        <v>12169</v>
      </c>
      <c r="AU52" s="18">
        <f>SUMIFS($C52:$Z52,$C$7:$Z$7,AU$7)</f>
        <v>15664</v>
      </c>
      <c r="AV52" s="17">
        <f>SUMIFS($C52:$AD52,$C$7:$AD$7,AV$7)</f>
        <v>26976</v>
      </c>
      <c r="AW52" s="17">
        <f>SUMIFS($C52:$AH52,$C$7:$AH$7,AW$7)</f>
        <v>47095</v>
      </c>
      <c r="AX52" s="17">
        <f t="shared" si="18"/>
        <v>48516</v>
      </c>
      <c r="AY52" s="2"/>
      <c r="AZ52" s="18">
        <f t="shared" si="19"/>
        <v>56622</v>
      </c>
      <c r="BA52" s="18">
        <f t="shared" si="19"/>
        <v>41093</v>
      </c>
    </row>
    <row r="53" spans="1:53" ht="12.9" outlineLevel="1" x14ac:dyDescent="0.5">
      <c r="A53" s="18" t="s">
        <v>24</v>
      </c>
      <c r="B53" s="18"/>
      <c r="C53" s="29"/>
      <c r="D53" s="29"/>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v>132313</v>
      </c>
      <c r="AM53" s="29"/>
      <c r="AN53" s="29"/>
      <c r="AO53" s="18"/>
      <c r="AP53" s="18"/>
      <c r="AQ53" s="18"/>
      <c r="AR53" s="18"/>
      <c r="AS53" s="18"/>
      <c r="AT53" s="18"/>
      <c r="AU53" s="18"/>
      <c r="AV53" s="17"/>
      <c r="AW53" s="17"/>
      <c r="AX53" s="17">
        <f t="shared" si="18"/>
        <v>132313</v>
      </c>
      <c r="AY53" s="2"/>
      <c r="AZ53" s="18">
        <f t="shared" si="19"/>
        <v>0</v>
      </c>
      <c r="BA53" s="18">
        <f t="shared" si="19"/>
        <v>132313</v>
      </c>
    </row>
    <row r="54" spans="1:53" ht="12.9" outlineLevel="1" x14ac:dyDescent="0.5">
      <c r="A54" s="18" t="s">
        <v>22</v>
      </c>
      <c r="B54" s="18"/>
      <c r="C54" s="29"/>
      <c r="D54" s="29"/>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v>117174</v>
      </c>
      <c r="AM54" s="29">
        <v>14063</v>
      </c>
      <c r="AN54" s="29">
        <v>18804</v>
      </c>
      <c r="AO54" s="18"/>
      <c r="AP54" s="18"/>
      <c r="AQ54" s="18"/>
      <c r="AR54" s="18"/>
      <c r="AS54" s="18"/>
      <c r="AT54" s="18"/>
      <c r="AU54" s="18"/>
      <c r="AV54" s="17"/>
      <c r="AW54" s="17"/>
      <c r="AX54" s="17">
        <f t="shared" si="18"/>
        <v>117174</v>
      </c>
      <c r="AY54" s="2"/>
      <c r="AZ54" s="18">
        <f t="shared" si="19"/>
        <v>0</v>
      </c>
      <c r="BA54" s="18">
        <f t="shared" si="19"/>
        <v>131237</v>
      </c>
    </row>
    <row r="55" spans="1:53" ht="12.9" outlineLevel="1" x14ac:dyDescent="0.5">
      <c r="A55" s="2" t="s">
        <v>23</v>
      </c>
      <c r="B55" s="18"/>
      <c r="C55" s="29"/>
      <c r="D55" s="29"/>
      <c r="E55" s="29"/>
      <c r="F55" s="29"/>
      <c r="G55" s="29"/>
      <c r="H55" s="29"/>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v>1055</v>
      </c>
      <c r="AN55" s="29"/>
      <c r="AO55" s="18"/>
      <c r="AP55" s="18"/>
      <c r="AQ55" s="18"/>
      <c r="AR55" s="18"/>
      <c r="AS55" s="18"/>
      <c r="AT55" s="18"/>
      <c r="AU55" s="18"/>
      <c r="AV55" s="17"/>
      <c r="AW55" s="17"/>
      <c r="AX55" s="17"/>
      <c r="AY55" s="2"/>
      <c r="AZ55" s="18">
        <f t="shared" si="19"/>
        <v>0</v>
      </c>
      <c r="BA55" s="18">
        <f t="shared" si="19"/>
        <v>1055</v>
      </c>
    </row>
    <row r="56" spans="1:53" ht="12.9" outlineLevel="1" x14ac:dyDescent="0.5">
      <c r="A56" s="18" t="s">
        <v>26</v>
      </c>
      <c r="B56" s="18"/>
      <c r="C56" s="29"/>
      <c r="D56" s="29"/>
      <c r="E56" s="29"/>
      <c r="F56" s="29"/>
      <c r="G56" s="29">
        <v>50000</v>
      </c>
      <c r="H56" s="29">
        <v>-2000</v>
      </c>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18"/>
      <c r="AP56" s="18"/>
      <c r="AQ56" s="18">
        <f>SUMIFS($C56:$V56,$C$7:$V$7,AQ$7)</f>
        <v>48000</v>
      </c>
      <c r="AR56" s="18"/>
      <c r="AS56" s="18"/>
      <c r="AT56" s="18"/>
      <c r="AU56" s="18"/>
      <c r="AV56" s="17"/>
      <c r="AW56" s="17"/>
      <c r="AX56" s="17">
        <f>SUMIFS($C56:$AL56,$C$7:$AL$7,AX$7)</f>
        <v>0</v>
      </c>
      <c r="AY56" s="2"/>
      <c r="AZ56" s="18">
        <f t="shared" si="19"/>
        <v>0</v>
      </c>
      <c r="BA56" s="18">
        <f t="shared" si="19"/>
        <v>0</v>
      </c>
    </row>
    <row r="57" spans="1:53" ht="12.9" outlineLevel="1" x14ac:dyDescent="0.5">
      <c r="A57" s="18" t="s">
        <v>32</v>
      </c>
      <c r="B57" s="18"/>
      <c r="C57" s="29">
        <v>240</v>
      </c>
      <c r="D57" s="29"/>
      <c r="E57" s="29"/>
      <c r="F57" s="29">
        <v>-23</v>
      </c>
      <c r="G57" s="29">
        <v>-56</v>
      </c>
      <c r="H57" s="29"/>
      <c r="I57" s="29">
        <v>-64</v>
      </c>
      <c r="J57" s="29">
        <v>-2</v>
      </c>
      <c r="K57" s="29">
        <v>-58</v>
      </c>
      <c r="L57" s="29"/>
      <c r="M57" s="29"/>
      <c r="N57" s="29"/>
      <c r="O57" s="29">
        <v>-102</v>
      </c>
      <c r="P57" s="29">
        <v>-3</v>
      </c>
      <c r="Q57" s="29">
        <v>3</v>
      </c>
      <c r="R57" s="29">
        <v>-87</v>
      </c>
      <c r="S57" s="29">
        <v>-61</v>
      </c>
      <c r="T57" s="29">
        <v>87</v>
      </c>
      <c r="U57" s="29">
        <v>45</v>
      </c>
      <c r="V57" s="29">
        <v>106</v>
      </c>
      <c r="W57" s="29"/>
      <c r="X57" s="29">
        <v>1393</v>
      </c>
      <c r="Y57" s="29">
        <v>15</v>
      </c>
      <c r="Z57" s="29">
        <v>280</v>
      </c>
      <c r="AA57" s="29">
        <v>276</v>
      </c>
      <c r="AB57" s="29">
        <v>368</v>
      </c>
      <c r="AC57" s="29">
        <v>37</v>
      </c>
      <c r="AD57" s="29">
        <v>382</v>
      </c>
      <c r="AE57" s="29">
        <v>133</v>
      </c>
      <c r="AF57" s="29">
        <v>439</v>
      </c>
      <c r="AG57" s="29">
        <v>-450</v>
      </c>
      <c r="AH57" s="29">
        <v>792</v>
      </c>
      <c r="AI57" s="29">
        <v>-133</v>
      </c>
      <c r="AJ57" s="29">
        <v>355</v>
      </c>
      <c r="AK57" s="29">
        <v>793</v>
      </c>
      <c r="AL57" s="29">
        <v>39</v>
      </c>
      <c r="AM57" s="29">
        <v>-108</v>
      </c>
      <c r="AN57" s="29">
        <v>-45</v>
      </c>
      <c r="AO57" s="18"/>
      <c r="AP57" s="18">
        <f t="shared" ref="AP57:AT58" si="20">SUMIFS($C57:$V57,$C$7:$V$7,AP$7)</f>
        <v>217</v>
      </c>
      <c r="AQ57" s="18">
        <f t="shared" si="20"/>
        <v>-122</v>
      </c>
      <c r="AR57" s="18">
        <f t="shared" si="20"/>
        <v>-58</v>
      </c>
      <c r="AS57" s="18">
        <f t="shared" si="20"/>
        <v>-189</v>
      </c>
      <c r="AT57" s="18">
        <f t="shared" si="20"/>
        <v>177</v>
      </c>
      <c r="AU57" s="18">
        <f>SUMIFS($C57:$Z57,$C$7:$Z$7,AU$7)</f>
        <v>1688</v>
      </c>
      <c r="AV57" s="17">
        <f>SUMIFS($C57:$AD57,$C$7:$AD$7,AV$7)</f>
        <v>1063</v>
      </c>
      <c r="AW57" s="17">
        <f>SUMIFS($C57:$AH57,$C$7:$AH$7,AW$7)</f>
        <v>914</v>
      </c>
      <c r="AX57" s="17">
        <f>SUMIFS($C57:$AL57,$C$7:$AL$7,AX$7)</f>
        <v>1054</v>
      </c>
      <c r="AY57" s="2"/>
      <c r="AZ57" s="18">
        <f t="shared" si="19"/>
        <v>648</v>
      </c>
      <c r="BA57" s="18">
        <f t="shared" si="19"/>
        <v>1079</v>
      </c>
    </row>
    <row r="58" spans="1:53" ht="12.9" outlineLevel="1" x14ac:dyDescent="0.5">
      <c r="A58" s="7" t="s">
        <v>37</v>
      </c>
      <c r="B58" s="2"/>
      <c r="C58" s="20">
        <f t="shared" ref="C58:AM58" si="21">C49-SUM(C50:C57)</f>
        <v>23215</v>
      </c>
      <c r="D58" s="20">
        <f t="shared" si="21"/>
        <v>26577</v>
      </c>
      <c r="E58" s="20">
        <f t="shared" si="21"/>
        <v>30884</v>
      </c>
      <c r="F58" s="20">
        <f t="shared" si="21"/>
        <v>34689</v>
      </c>
      <c r="G58" s="20">
        <f t="shared" si="21"/>
        <v>37086</v>
      </c>
      <c r="H58" s="20">
        <f t="shared" si="21"/>
        <v>40176</v>
      </c>
      <c r="I58" s="20">
        <f t="shared" si="21"/>
        <v>39227</v>
      </c>
      <c r="J58" s="20">
        <f t="shared" si="21"/>
        <v>40900</v>
      </c>
      <c r="K58" s="20">
        <f t="shared" si="21"/>
        <v>45077</v>
      </c>
      <c r="L58" s="20">
        <f t="shared" si="21"/>
        <v>49260</v>
      </c>
      <c r="M58" s="20">
        <f t="shared" si="21"/>
        <v>52086</v>
      </c>
      <c r="N58" s="20">
        <f t="shared" si="21"/>
        <v>53016</v>
      </c>
      <c r="O58" s="20">
        <f t="shared" si="21"/>
        <v>62024</v>
      </c>
      <c r="P58" s="20">
        <f t="shared" si="21"/>
        <v>63119</v>
      </c>
      <c r="Q58" s="20">
        <f t="shared" si="21"/>
        <v>69435</v>
      </c>
      <c r="R58" s="20">
        <f t="shared" si="21"/>
        <v>80047</v>
      </c>
      <c r="S58" s="20">
        <f t="shared" si="21"/>
        <v>85999</v>
      </c>
      <c r="T58" s="20">
        <f t="shared" si="21"/>
        <v>76082</v>
      </c>
      <c r="U58" s="20">
        <f t="shared" si="21"/>
        <v>96607</v>
      </c>
      <c r="V58" s="20">
        <f t="shared" si="21"/>
        <v>95957</v>
      </c>
      <c r="W58" s="20">
        <f t="shared" si="21"/>
        <v>111106</v>
      </c>
      <c r="X58" s="20">
        <f t="shared" si="21"/>
        <v>111147</v>
      </c>
      <c r="Y58" s="20">
        <f t="shared" si="21"/>
        <v>130066</v>
      </c>
      <c r="Z58" s="20">
        <f t="shared" si="21"/>
        <v>131098</v>
      </c>
      <c r="AA58" s="20">
        <f t="shared" si="21"/>
        <v>169962</v>
      </c>
      <c r="AB58" s="20">
        <f t="shared" si="21"/>
        <v>174778</v>
      </c>
      <c r="AC58" s="20">
        <f t="shared" si="21"/>
        <v>230543</v>
      </c>
      <c r="AD58" s="20">
        <f t="shared" si="21"/>
        <v>240055</v>
      </c>
      <c r="AE58" s="20">
        <f t="shared" si="21"/>
        <v>251616</v>
      </c>
      <c r="AF58" s="20">
        <f t="shared" si="21"/>
        <v>312949</v>
      </c>
      <c r="AG58" s="20">
        <f t="shared" si="21"/>
        <v>311972</v>
      </c>
      <c r="AH58" s="20">
        <f t="shared" si="21"/>
        <v>343190</v>
      </c>
      <c r="AI58" s="20">
        <f t="shared" si="21"/>
        <v>362301</v>
      </c>
      <c r="AJ58" s="20">
        <f t="shared" si="21"/>
        <v>377456</v>
      </c>
      <c r="AK58" s="20">
        <f t="shared" si="21"/>
        <v>378961</v>
      </c>
      <c r="AL58" s="20">
        <f t="shared" si="21"/>
        <v>414884</v>
      </c>
      <c r="AM58" s="20">
        <f t="shared" si="21"/>
        <v>357664</v>
      </c>
      <c r="AN58" s="20">
        <v>371045</v>
      </c>
      <c r="AO58" s="20"/>
      <c r="AP58" s="20">
        <f t="shared" si="20"/>
        <v>115365</v>
      </c>
      <c r="AQ58" s="20">
        <f t="shared" si="20"/>
        <v>157389</v>
      </c>
      <c r="AR58" s="20">
        <f t="shared" si="20"/>
        <v>199439</v>
      </c>
      <c r="AS58" s="20">
        <f t="shared" si="20"/>
        <v>274625</v>
      </c>
      <c r="AT58" s="20">
        <f t="shared" si="20"/>
        <v>354645</v>
      </c>
      <c r="AU58" s="20">
        <f>SUMIFS($C58:$Z58,$C$7:$Z$7,AU$7)</f>
        <v>483417</v>
      </c>
      <c r="AV58" s="20">
        <f>AV49-SUM(AV50:AV57)</f>
        <v>815338</v>
      </c>
      <c r="AW58" s="20">
        <f>SUMIFS($C58:$AH58,$C$7:$AH$7,AW$7)</f>
        <v>1219727</v>
      </c>
      <c r="AX58" s="20">
        <f>SUMIFS($C58:$AL58,$C$7:$AL$7,AX$7)</f>
        <v>1533602</v>
      </c>
      <c r="AY58" s="7"/>
      <c r="AZ58" s="20">
        <f t="shared" si="19"/>
        <v>1330412</v>
      </c>
      <c r="BA58" s="20">
        <f t="shared" si="19"/>
        <v>1528965</v>
      </c>
    </row>
    <row r="59" spans="1:53" ht="12.9" outlineLevel="1" x14ac:dyDescent="0.5">
      <c r="A59" s="7"/>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0"/>
      <c r="AE59" s="2"/>
      <c r="AF59" s="2"/>
      <c r="AG59" s="2"/>
      <c r="AH59" s="2"/>
      <c r="AI59" s="29"/>
      <c r="AJ59" s="29"/>
      <c r="AK59" s="29"/>
      <c r="AL59" s="29"/>
      <c r="AM59" s="29"/>
      <c r="AN59" s="29"/>
      <c r="AO59" s="2"/>
      <c r="AP59" s="2"/>
      <c r="AQ59" s="2"/>
      <c r="AR59" s="2"/>
      <c r="AS59" s="2"/>
      <c r="AT59" s="2"/>
      <c r="AU59" s="2"/>
      <c r="AV59" s="2"/>
      <c r="AW59" s="2"/>
      <c r="AX59" s="2"/>
      <c r="AY59" s="2"/>
      <c r="AZ59" s="2"/>
      <c r="BA59" s="2"/>
    </row>
    <row r="60" spans="1:53" ht="12.9" outlineLevel="1" x14ac:dyDescent="0.5">
      <c r="A60" s="7" t="s">
        <v>38</v>
      </c>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row>
    <row r="61" spans="1:53" ht="12.9" outlineLevel="1" x14ac:dyDescent="0.5">
      <c r="A61" s="2" t="s">
        <v>39</v>
      </c>
      <c r="B61" s="2"/>
      <c r="C61" s="12"/>
      <c r="D61" s="12"/>
      <c r="E61" s="12"/>
      <c r="F61" s="12"/>
      <c r="G61" s="12"/>
      <c r="H61" s="12"/>
      <c r="I61" s="12"/>
      <c r="J61" s="12"/>
      <c r="K61" s="12"/>
      <c r="L61" s="12"/>
      <c r="M61" s="12"/>
      <c r="N61" s="12"/>
      <c r="O61" s="12"/>
      <c r="P61" s="12"/>
      <c r="Q61" s="12"/>
      <c r="R61" s="12"/>
      <c r="S61" s="12"/>
      <c r="T61" s="12"/>
      <c r="U61" s="12"/>
      <c r="V61" s="12"/>
      <c r="W61" s="12"/>
      <c r="X61" s="12"/>
      <c r="Y61" s="12"/>
      <c r="Z61" s="12"/>
      <c r="AA61" s="12"/>
      <c r="AB61" s="12">
        <f>'[23]GAAP IS'!AB43</f>
        <v>-343</v>
      </c>
      <c r="AC61" s="12">
        <f>'[23]GAAP IS'!AC43</f>
        <v>-2960</v>
      </c>
      <c r="AD61" s="12">
        <v>-4155</v>
      </c>
      <c r="AE61" s="12">
        <f>'[23]GAAP IS'!AE43</f>
        <v>-3164</v>
      </c>
      <c r="AF61" s="12">
        <f>'[23]GAAP IS'!AF43</f>
        <v>-1263</v>
      </c>
      <c r="AG61" s="12">
        <f>'[23]GAAP IS'!AG43</f>
        <v>-4033</v>
      </c>
      <c r="AH61" s="12">
        <f>'[23]GAAP IS'!AH43</f>
        <v>-3798</v>
      </c>
      <c r="AI61" s="12">
        <f>'[23]GAAP IS'!AI43</f>
        <v>-2488</v>
      </c>
      <c r="AJ61" s="12">
        <f>'[23]GAAP IS'!AJ43</f>
        <v>-3336</v>
      </c>
      <c r="AK61" s="12">
        <f>'[23]GAAP IS'!AK43</f>
        <v>-4806</v>
      </c>
      <c r="AL61" s="12">
        <f>'[23]GAAP IS'!AL43</f>
        <v>-20266</v>
      </c>
      <c r="AM61" s="12">
        <f>'[23]GAAP IS'!AM43</f>
        <v>-1185</v>
      </c>
      <c r="AN61" s="12">
        <v>-5396</v>
      </c>
      <c r="AO61" s="12"/>
      <c r="AP61" s="12"/>
      <c r="AQ61" s="12"/>
      <c r="AR61" s="12"/>
      <c r="AS61" s="12"/>
      <c r="AT61" s="12"/>
      <c r="AU61" s="12"/>
      <c r="AV61" s="12">
        <f>SUMIFS($C61:$AH61,$C$7:$AH$7,AV$7)</f>
        <v>-7458</v>
      </c>
      <c r="AW61" s="12">
        <f>SUMIFS($C61:$AH61,$C$7:$AH$7,AW$7)</f>
        <v>-12258</v>
      </c>
      <c r="AX61" s="12">
        <f>SUMIFS($C61:$AL61,$C$7:$AL$7,AX$7)</f>
        <v>-30896</v>
      </c>
      <c r="AY61" s="2"/>
      <c r="AZ61" s="12">
        <f t="shared" ref="AZ61:BA63" si="22">SUMIFS($C61:$AM61,$C$5:$AM$5,"&lt;="&amp;AZ$5,$C$5:$AM$5,"&gt;"&amp;EOMONTH(AZ$5,-12))</f>
        <v>-11582</v>
      </c>
      <c r="BA61" s="12">
        <f t="shared" si="22"/>
        <v>-29593</v>
      </c>
    </row>
    <row r="62" spans="1:53" ht="12.9" outlineLevel="1" x14ac:dyDescent="0.5">
      <c r="A62" s="2" t="s">
        <v>40</v>
      </c>
      <c r="B62" s="2"/>
      <c r="C62" s="18">
        <f>'[23]GAAP IS'!C44</f>
        <v>-47978</v>
      </c>
      <c r="D62" s="18">
        <f>'[23]GAAP IS'!D44</f>
        <v>-29620</v>
      </c>
      <c r="E62" s="18">
        <f>'[23]GAAP IS'!E44</f>
        <v>-53930</v>
      </c>
      <c r="F62" s="18">
        <f>'[23]GAAP IS'!F44</f>
        <v>-48289</v>
      </c>
      <c r="G62" s="18">
        <f>'[23]GAAP IS'!G44</f>
        <v>-96755</v>
      </c>
      <c r="H62" s="18">
        <f>'[23]GAAP IS'!H44</f>
        <v>-27345</v>
      </c>
      <c r="I62" s="18">
        <f>'[23]GAAP IS'!I44</f>
        <v>-32323</v>
      </c>
      <c r="J62" s="18">
        <f>'[23]GAAP IS'!J44</f>
        <v>-15167</v>
      </c>
      <c r="K62" s="18">
        <f>'[23]GAAP IS'!K44</f>
        <v>-15090</v>
      </c>
      <c r="L62" s="18">
        <f>'[23]GAAP IS'!L44</f>
        <v>-15962</v>
      </c>
      <c r="M62" s="18">
        <f>'[23]GAAP IS'!M44</f>
        <v>-16098</v>
      </c>
      <c r="N62" s="18">
        <f>'[23]GAAP IS'!N44</f>
        <v>-15663</v>
      </c>
      <c r="O62" s="18">
        <f>'[23]GAAP IS'!O44</f>
        <v>-23986</v>
      </c>
      <c r="P62" s="18">
        <f>'[23]GAAP IS'!P44</f>
        <v>-5906</v>
      </c>
      <c r="Q62" s="18">
        <f>'[23]GAAP IS'!Q44</f>
        <v>19643</v>
      </c>
      <c r="R62" s="18">
        <f>'[23]GAAP IS'!R44</f>
        <v>-28204</v>
      </c>
      <c r="S62" s="18">
        <f>'[23]GAAP IS'!S44</f>
        <v>-38151</v>
      </c>
      <c r="T62" s="18">
        <f>'[23]GAAP IS'!T44</f>
        <v>-6740</v>
      </c>
      <c r="U62" s="18">
        <f>'[23]GAAP IS'!U44</f>
        <v>29397</v>
      </c>
      <c r="V62" s="18">
        <f>'[23]GAAP IS'!V44</f>
        <v>390940</v>
      </c>
      <c r="W62" s="18">
        <f>'[23]GAAP IS'!W44</f>
        <v>-105891</v>
      </c>
      <c r="X62" s="18">
        <f>'[23]GAAP IS'!X44</f>
        <v>-11478</v>
      </c>
      <c r="Y62" s="18">
        <f>'[23]GAAP IS'!Y44</f>
        <v>36515</v>
      </c>
      <c r="Z62" s="18">
        <f>'[23]GAAP IS'!Z44</f>
        <v>293959</v>
      </c>
      <c r="AA62" s="18">
        <f>'[23]GAAP IS'!AA44</f>
        <v>39006</v>
      </c>
      <c r="AB62" s="18">
        <f>'[23]GAAP IS'!AB44</f>
        <v>204023</v>
      </c>
      <c r="AC62" s="18">
        <f>'[23]GAAP IS'!AC44</f>
        <v>84</v>
      </c>
      <c r="AD62" s="18">
        <v>-76829</v>
      </c>
      <c r="AE62" s="18">
        <f>'[23]GAAP IS'!AE44</f>
        <v>-204199</v>
      </c>
      <c r="AF62" s="18">
        <f>'[23]GAAP IS'!AF44</f>
        <v>-208014</v>
      </c>
      <c r="AG62" s="18">
        <f>'[23]GAAP IS'!AG44</f>
        <v>-14711</v>
      </c>
      <c r="AH62" s="18">
        <f>'[23]GAAP IS'!AH44</f>
        <v>-113823</v>
      </c>
      <c r="AI62" s="18">
        <f>'[23]GAAP IS'!AI44</f>
        <v>-16838</v>
      </c>
      <c r="AJ62" s="18">
        <f>'[23]GAAP IS'!AJ44</f>
        <v>-122506</v>
      </c>
      <c r="AK62" s="18">
        <f>'[23]GAAP IS'!AK44</f>
        <v>-28954</v>
      </c>
      <c r="AL62" s="18">
        <f>'[23]GAAP IS'!AL44</f>
        <v>178070</v>
      </c>
      <c r="AM62" s="18">
        <f>'[23]GAAP IS'!AM44</f>
        <v>472005</v>
      </c>
      <c r="AN62" s="18">
        <v>195268</v>
      </c>
      <c r="AO62" s="12"/>
      <c r="AP62" s="12">
        <f t="shared" ref="AP62:AW62" si="23">SUMIFS($C62:$AH62,$C$7:$AH$7,AP$7)</f>
        <v>-179817</v>
      </c>
      <c r="AQ62" s="12">
        <f t="shared" si="23"/>
        <v>-171590</v>
      </c>
      <c r="AR62" s="12">
        <f t="shared" si="23"/>
        <v>-62813</v>
      </c>
      <c r="AS62" s="12">
        <f t="shared" si="23"/>
        <v>-38453</v>
      </c>
      <c r="AT62" s="12">
        <f t="shared" si="23"/>
        <v>375446</v>
      </c>
      <c r="AU62" s="12">
        <f t="shared" si="23"/>
        <v>213105</v>
      </c>
      <c r="AV62" s="12">
        <f t="shared" si="23"/>
        <v>166284</v>
      </c>
      <c r="AW62" s="12">
        <f t="shared" si="23"/>
        <v>-540747</v>
      </c>
      <c r="AX62" s="12">
        <f>SUMIFS($C62:$AL62,$C$7:$AL$7,AX$7)</f>
        <v>9772</v>
      </c>
      <c r="AY62" s="2"/>
      <c r="AZ62" s="18">
        <f t="shared" si="22"/>
        <v>-353386</v>
      </c>
      <c r="BA62" s="18">
        <f t="shared" si="22"/>
        <v>498615</v>
      </c>
    </row>
    <row r="63" spans="1:53" ht="12.9" outlineLevel="1" x14ac:dyDescent="0.5">
      <c r="A63" s="2" t="s">
        <v>41</v>
      </c>
      <c r="B63" s="2"/>
      <c r="C63" s="12">
        <f>'[23]GAAP IS'!C42</f>
        <v>-47978</v>
      </c>
      <c r="D63" s="12">
        <f>'[23]GAAP IS'!D42</f>
        <v>-29620</v>
      </c>
      <c r="E63" s="12">
        <f>'[23]GAAP IS'!E42</f>
        <v>-53930</v>
      </c>
      <c r="F63" s="12">
        <f>'[23]GAAP IS'!F42</f>
        <v>-48289</v>
      </c>
      <c r="G63" s="12">
        <f>'[23]GAAP IS'!G42</f>
        <v>-96755</v>
      </c>
      <c r="H63" s="12">
        <f>'[23]GAAP IS'!H42</f>
        <v>-27345</v>
      </c>
      <c r="I63" s="12">
        <f>'[23]GAAP IS'!I42</f>
        <v>-32323</v>
      </c>
      <c r="J63" s="12">
        <f>'[23]GAAP IS'!J42</f>
        <v>-15167</v>
      </c>
      <c r="K63" s="12">
        <f>'[23]GAAP IS'!K42</f>
        <v>-15090</v>
      </c>
      <c r="L63" s="12">
        <f>'[23]GAAP IS'!L42</f>
        <v>-15962</v>
      </c>
      <c r="M63" s="12">
        <f>'[23]GAAP IS'!M42</f>
        <v>-16098</v>
      </c>
      <c r="N63" s="12">
        <f>'[23]GAAP IS'!N42</f>
        <v>-15663</v>
      </c>
      <c r="O63" s="12">
        <f>'[23]GAAP IS'!O42</f>
        <v>-23986</v>
      </c>
      <c r="P63" s="12">
        <f>'[23]GAAP IS'!P42</f>
        <v>-5906</v>
      </c>
      <c r="Q63" s="12">
        <f>'[23]GAAP IS'!Q42</f>
        <v>19643</v>
      </c>
      <c r="R63" s="12">
        <f>'[23]GAAP IS'!R42</f>
        <v>-28204</v>
      </c>
      <c r="S63" s="12">
        <f>'[23]GAAP IS'!S42</f>
        <v>-38151</v>
      </c>
      <c r="T63" s="12">
        <f>'[23]GAAP IS'!T42</f>
        <v>-6740</v>
      </c>
      <c r="U63" s="12">
        <f>'[23]GAAP IS'!U42</f>
        <v>29397</v>
      </c>
      <c r="V63" s="12">
        <f>'[23]GAAP IS'!V42</f>
        <v>390940</v>
      </c>
      <c r="W63" s="12">
        <f>'[23]GAAP IS'!W42</f>
        <v>-105891</v>
      </c>
      <c r="X63" s="12">
        <f>'[23]GAAP IS'!X42</f>
        <v>-11478</v>
      </c>
      <c r="Y63" s="12">
        <f>'[23]GAAP IS'!Y42</f>
        <v>36515</v>
      </c>
      <c r="Z63" s="12">
        <f>'[23]GAAP IS'!Z42</f>
        <v>293959</v>
      </c>
      <c r="AA63" s="12">
        <f>'[23]GAAP IS'!AA42</f>
        <v>39006</v>
      </c>
      <c r="AB63" s="12">
        <f>'[23]GAAP IS'!AB42</f>
        <v>203680</v>
      </c>
      <c r="AC63" s="12">
        <f>'[23]GAAP IS'!AC42</f>
        <v>-2876</v>
      </c>
      <c r="AD63" s="12">
        <f>'[23]GAAP IS'!AD42</f>
        <v>-80986</v>
      </c>
      <c r="AE63" s="12">
        <f>'[23]GAAP IS'!AE42</f>
        <v>-207363</v>
      </c>
      <c r="AF63" s="12">
        <f>'[23]GAAP IS'!AF42</f>
        <v>-209277</v>
      </c>
      <c r="AG63" s="12">
        <f>'[23]GAAP IS'!AG42</f>
        <v>-18744</v>
      </c>
      <c r="AH63" s="12">
        <f>'[23]GAAP IS'!AH42</f>
        <v>-117621</v>
      </c>
      <c r="AI63" s="12">
        <f>'[23]GAAP IS'!AI42</f>
        <v>-19326</v>
      </c>
      <c r="AJ63" s="12">
        <f>'[23]GAAP IS'!AJ42</f>
        <v>-125842</v>
      </c>
      <c r="AK63" s="12">
        <f>'[23]GAAP IS'!AK42</f>
        <v>-33760</v>
      </c>
      <c r="AL63" s="12">
        <f>'[23]GAAP IS'!AL42</f>
        <v>157804</v>
      </c>
      <c r="AM63" s="12">
        <f>'[23]GAAP IS'!AM42</f>
        <v>470820</v>
      </c>
      <c r="AN63" s="12">
        <v>189872</v>
      </c>
      <c r="AO63" s="12"/>
      <c r="AP63" s="12">
        <f t="shared" ref="AP63:AT67" si="24">SUMIFS($C63:$V63,$C$7:$V$7,AP$7)</f>
        <v>-179817</v>
      </c>
      <c r="AQ63" s="12">
        <f t="shared" si="24"/>
        <v>-171590</v>
      </c>
      <c r="AR63" s="12">
        <f t="shared" si="24"/>
        <v>-62813</v>
      </c>
      <c r="AS63" s="12">
        <f t="shared" si="24"/>
        <v>-38453</v>
      </c>
      <c r="AT63" s="12">
        <f t="shared" si="24"/>
        <v>375446</v>
      </c>
      <c r="AU63" s="12">
        <f>SUMIFS($C63:$Z63,$C$7:$Z$7,AU$7)</f>
        <v>213105</v>
      </c>
      <c r="AV63" s="12">
        <f>SUMIFS($C63:$AD63,$C$7:$AD$7,AV$7)</f>
        <v>158824</v>
      </c>
      <c r="AW63" s="12">
        <f>SUMIFS($C63:$AH63,$C$7:$AH$7,AW$7)</f>
        <v>-553005</v>
      </c>
      <c r="AX63" s="12">
        <f>SUMIFS($C63:$AL63,$C$7:$AL$7,AX$7)</f>
        <v>-21124</v>
      </c>
      <c r="AY63" s="2"/>
      <c r="AZ63" s="12">
        <f t="shared" si="22"/>
        <v>-364968</v>
      </c>
      <c r="BA63" s="12">
        <f t="shared" si="22"/>
        <v>469022</v>
      </c>
    </row>
    <row r="64" spans="1:53" ht="12.9" outlineLevel="1" x14ac:dyDescent="0.5">
      <c r="A64" s="13" t="s">
        <v>12</v>
      </c>
      <c r="B64" s="13"/>
      <c r="C64" s="24">
        <v>-29237</v>
      </c>
      <c r="D64" s="24">
        <v>-33630</v>
      </c>
      <c r="E64" s="24">
        <v>-32332</v>
      </c>
      <c r="F64" s="24">
        <v>-47084</v>
      </c>
      <c r="G64" s="24">
        <v>-38838</v>
      </c>
      <c r="H64" s="24">
        <v>-32867</v>
      </c>
      <c r="I64" s="24">
        <v>-7164</v>
      </c>
      <c r="J64" s="24">
        <v>-34</v>
      </c>
      <c r="K64" s="24"/>
      <c r="L64" s="24"/>
      <c r="M64" s="24"/>
      <c r="N64" s="24"/>
      <c r="O64" s="24"/>
      <c r="P64" s="24"/>
      <c r="Q64" s="24"/>
      <c r="R64" s="24"/>
      <c r="S64" s="24"/>
      <c r="T64" s="24"/>
      <c r="U64" s="24"/>
      <c r="V64" s="24"/>
      <c r="W64" s="24"/>
      <c r="X64" s="24"/>
      <c r="Y64" s="24"/>
      <c r="Z64" s="24"/>
      <c r="AA64" s="24"/>
      <c r="AB64" s="24"/>
      <c r="AC64" s="24"/>
      <c r="AD64" s="24"/>
      <c r="AE64" s="19"/>
      <c r="AF64" s="19"/>
      <c r="AG64" s="19"/>
      <c r="AH64" s="19"/>
      <c r="AI64" s="19"/>
      <c r="AJ64" s="19"/>
      <c r="AK64" s="19"/>
      <c r="AL64" s="19"/>
      <c r="AM64" s="19"/>
      <c r="AN64" s="19"/>
      <c r="AO64" s="19"/>
      <c r="AP64" s="19">
        <f t="shared" si="24"/>
        <v>-142283</v>
      </c>
      <c r="AQ64" s="19">
        <f t="shared" si="24"/>
        <v>-78903</v>
      </c>
      <c r="AR64" s="19"/>
      <c r="AS64" s="19"/>
      <c r="AT64" s="19"/>
      <c r="AU64" s="19"/>
      <c r="AV64" s="19"/>
      <c r="AW64" s="19"/>
      <c r="AX64" s="19"/>
      <c r="AY64" s="13"/>
      <c r="AZ64" s="19"/>
      <c r="BA64" s="19"/>
    </row>
    <row r="65" spans="1:53" ht="12.9" outlineLevel="1" x14ac:dyDescent="0.5">
      <c r="A65" s="13" t="s">
        <v>42</v>
      </c>
      <c r="B65" s="13"/>
      <c r="C65" s="24">
        <v>36211</v>
      </c>
      <c r="D65" s="24">
        <v>40921</v>
      </c>
      <c r="E65" s="24">
        <v>41410</v>
      </c>
      <c r="F65" s="24">
        <v>46896</v>
      </c>
      <c r="G65" s="24">
        <v>36610</v>
      </c>
      <c r="H65" s="24">
        <v>28672</v>
      </c>
      <c r="I65" s="24">
        <v>4528</v>
      </c>
      <c r="J65" s="24">
        <v>-49</v>
      </c>
      <c r="K65" s="24"/>
      <c r="L65" s="24"/>
      <c r="M65" s="24"/>
      <c r="N65" s="24"/>
      <c r="O65" s="24"/>
      <c r="P65" s="24"/>
      <c r="Q65" s="24"/>
      <c r="R65" s="24"/>
      <c r="S65" s="24"/>
      <c r="T65" s="24"/>
      <c r="U65" s="24"/>
      <c r="V65" s="24"/>
      <c r="W65" s="24"/>
      <c r="X65" s="24"/>
      <c r="Y65" s="24"/>
      <c r="Z65" s="24"/>
      <c r="AA65" s="24"/>
      <c r="AB65" s="24"/>
      <c r="AC65" s="24"/>
      <c r="AD65" s="24"/>
      <c r="AE65" s="19"/>
      <c r="AF65" s="19"/>
      <c r="AG65" s="19"/>
      <c r="AH65" s="19"/>
      <c r="AI65" s="19"/>
      <c r="AJ65" s="19"/>
      <c r="AK65" s="19"/>
      <c r="AL65" s="19"/>
      <c r="AM65" s="19"/>
      <c r="AN65" s="19"/>
      <c r="AO65" s="19"/>
      <c r="AP65" s="19">
        <f t="shared" si="24"/>
        <v>165438</v>
      </c>
      <c r="AQ65" s="19">
        <f t="shared" si="24"/>
        <v>69761</v>
      </c>
      <c r="AR65" s="19"/>
      <c r="AS65" s="19"/>
      <c r="AT65" s="19"/>
      <c r="AU65" s="19"/>
      <c r="AV65" s="19"/>
      <c r="AW65" s="19"/>
      <c r="AX65" s="19"/>
      <c r="AY65" s="13"/>
      <c r="AZ65" s="19"/>
      <c r="BA65" s="19"/>
    </row>
    <row r="66" spans="1:53" ht="12.9" outlineLevel="1" x14ac:dyDescent="0.5">
      <c r="A66" s="2" t="s">
        <v>43</v>
      </c>
      <c r="B66" s="2"/>
      <c r="C66" s="29">
        <v>13461</v>
      </c>
      <c r="D66" s="29">
        <v>15232</v>
      </c>
      <c r="E66" s="29">
        <v>20793</v>
      </c>
      <c r="F66" s="29">
        <v>32806</v>
      </c>
      <c r="G66" s="29">
        <v>31198</v>
      </c>
      <c r="H66" s="29">
        <v>36922</v>
      </c>
      <c r="I66" s="29">
        <v>36779</v>
      </c>
      <c r="J66" s="29">
        <v>33887</v>
      </c>
      <c r="K66" s="29">
        <v>31670</v>
      </c>
      <c r="L66" s="29">
        <v>39593</v>
      </c>
      <c r="M66" s="29">
        <v>40048</v>
      </c>
      <c r="N66" s="29">
        <v>44525</v>
      </c>
      <c r="O66" s="29">
        <v>46824</v>
      </c>
      <c r="P66" s="29">
        <v>52119</v>
      </c>
      <c r="Q66" s="29">
        <v>58913</v>
      </c>
      <c r="R66" s="29">
        <v>59025</v>
      </c>
      <c r="S66" s="29">
        <v>61088</v>
      </c>
      <c r="T66" s="29">
        <v>79466</v>
      </c>
      <c r="U66" s="29">
        <v>77426</v>
      </c>
      <c r="V66" s="29">
        <v>79883</v>
      </c>
      <c r="W66" s="29">
        <v>77303</v>
      </c>
      <c r="X66" s="29">
        <v>96180</v>
      </c>
      <c r="Y66" s="29">
        <v>110389</v>
      </c>
      <c r="Z66" s="29">
        <v>113628</v>
      </c>
      <c r="AA66" s="29">
        <v>118623</v>
      </c>
      <c r="AB66" s="29">
        <v>146365</v>
      </c>
      <c r="AC66" s="29">
        <v>165011</v>
      </c>
      <c r="AD66" s="29">
        <v>178043</v>
      </c>
      <c r="AE66" s="29">
        <v>275423</v>
      </c>
      <c r="AF66" s="29">
        <v>256638</v>
      </c>
      <c r="AG66" s="29">
        <v>262733</v>
      </c>
      <c r="AH66" s="29">
        <v>274495</v>
      </c>
      <c r="AI66" s="29">
        <v>279591</v>
      </c>
      <c r="AJ66" s="29">
        <v>319248</v>
      </c>
      <c r="AK66" s="29">
        <v>345690</v>
      </c>
      <c r="AL66" s="29">
        <v>331568</v>
      </c>
      <c r="AM66" s="29">
        <v>304531</v>
      </c>
      <c r="AN66" s="29">
        <v>320368</v>
      </c>
      <c r="AO66" s="18"/>
      <c r="AP66" s="18">
        <f t="shared" si="24"/>
        <v>82292</v>
      </c>
      <c r="AQ66" s="18">
        <f t="shared" si="24"/>
        <v>138786</v>
      </c>
      <c r="AR66" s="18">
        <f t="shared" si="24"/>
        <v>155836</v>
      </c>
      <c r="AS66" s="18">
        <f t="shared" si="24"/>
        <v>216881</v>
      </c>
      <c r="AT66" s="18">
        <f t="shared" si="24"/>
        <v>297863</v>
      </c>
      <c r="AU66" s="18">
        <f>SUMIFS($C66:$Z66,$C$7:$Z$7,AU$7)</f>
        <v>397500</v>
      </c>
      <c r="AV66" s="18">
        <f>SUMIFS($C66:$AD66,$C$7:$AD$7,AV$7)</f>
        <v>608042</v>
      </c>
      <c r="AW66" s="18">
        <f>SUMIFS($C66:$AH66,$C$7:$AH$7,AW$7)</f>
        <v>1069289</v>
      </c>
      <c r="AX66" s="18">
        <f>SUMIFS($C66:$AL66,$C$7:$AL$7,AX$7)</f>
        <v>1276097</v>
      </c>
      <c r="AY66" s="2"/>
      <c r="AZ66" s="18">
        <f t="shared" ref="AZ66:BA81" si="25">SUMIFS($C66:$AM66,$C$5:$AM$5,"&lt;="&amp;AZ$5,$C$5:$AM$5,"&gt;"&amp;EOMONTH(AZ$5,-12))</f>
        <v>1073457</v>
      </c>
      <c r="BA66" s="18">
        <f t="shared" si="25"/>
        <v>1301037</v>
      </c>
    </row>
    <row r="67" spans="1:53" ht="12.9" outlineLevel="1" x14ac:dyDescent="0.5">
      <c r="A67" s="2" t="s">
        <v>20</v>
      </c>
      <c r="B67" s="2"/>
      <c r="C67" s="29">
        <v>5546</v>
      </c>
      <c r="D67" s="29">
        <v>6410</v>
      </c>
      <c r="E67" s="29">
        <v>6570</v>
      </c>
      <c r="F67" s="29">
        <v>9100</v>
      </c>
      <c r="G67" s="29">
        <v>9118</v>
      </c>
      <c r="H67" s="29">
        <v>9018</v>
      </c>
      <c r="I67" s="29">
        <v>9681</v>
      </c>
      <c r="J67" s="29">
        <v>9928</v>
      </c>
      <c r="K67" s="29">
        <v>9437</v>
      </c>
      <c r="L67" s="29">
        <v>9125</v>
      </c>
      <c r="M67" s="29">
        <v>9085</v>
      </c>
      <c r="N67" s="29">
        <v>9632</v>
      </c>
      <c r="O67" s="29">
        <v>10160</v>
      </c>
      <c r="P67" s="29">
        <v>12328</v>
      </c>
      <c r="Q67" s="29">
        <v>15835</v>
      </c>
      <c r="R67" s="29">
        <v>22638</v>
      </c>
      <c r="S67" s="29">
        <v>18971</v>
      </c>
      <c r="T67" s="29">
        <v>18783</v>
      </c>
      <c r="U67" s="29">
        <v>19125</v>
      </c>
      <c r="V67" s="29">
        <v>18719</v>
      </c>
      <c r="W67" s="29">
        <v>20061</v>
      </c>
      <c r="X67" s="29">
        <v>21056</v>
      </c>
      <c r="Y67" s="29">
        <v>20624</v>
      </c>
      <c r="Z67" s="29">
        <v>22471</v>
      </c>
      <c r="AA67" s="29">
        <v>29201</v>
      </c>
      <c r="AB67" s="29">
        <v>28394</v>
      </c>
      <c r="AC67" s="29">
        <v>38110</v>
      </c>
      <c r="AD67" s="29">
        <v>39051</v>
      </c>
      <c r="AE67" s="29">
        <v>70056</v>
      </c>
      <c r="AF67" s="29">
        <v>90839</v>
      </c>
      <c r="AG67" s="29">
        <v>88721</v>
      </c>
      <c r="AH67" s="29">
        <v>90907</v>
      </c>
      <c r="AI67" s="29">
        <v>93173</v>
      </c>
      <c r="AJ67" s="29">
        <v>94545</v>
      </c>
      <c r="AK67" s="29">
        <v>115518</v>
      </c>
      <c r="AL67" s="29">
        <v>105324</v>
      </c>
      <c r="AM67" s="29">
        <v>97640</v>
      </c>
      <c r="AN67" s="29">
        <v>96903</v>
      </c>
      <c r="AO67" s="18"/>
      <c r="AP67" s="18">
        <f t="shared" si="24"/>
        <v>27626</v>
      </c>
      <c r="AQ67" s="18">
        <f t="shared" si="24"/>
        <v>37745</v>
      </c>
      <c r="AR67" s="18">
        <f t="shared" si="24"/>
        <v>37279</v>
      </c>
      <c r="AS67" s="18">
        <f t="shared" si="24"/>
        <v>60961</v>
      </c>
      <c r="AT67" s="18">
        <f t="shared" si="24"/>
        <v>75598</v>
      </c>
      <c r="AU67" s="18">
        <f>SUMIFS($C67:$Z67,$C$7:$Z$7,AU$7)</f>
        <v>84212</v>
      </c>
      <c r="AV67" s="18">
        <f>SUMIFS($C67:$AD67,$C$7:$AD$7,AV$7)</f>
        <v>134756</v>
      </c>
      <c r="AW67" s="18">
        <f>SUMIFS($C67:$AH67,$C$7:$AH$7,AW$7)</f>
        <v>340523</v>
      </c>
      <c r="AX67" s="18">
        <f>SUMIFS($C67:$AL67,$C$7:$AL$7,AX$7)</f>
        <v>408560</v>
      </c>
      <c r="AY67" s="2"/>
      <c r="AZ67" s="18">
        <f t="shared" si="25"/>
        <v>363640</v>
      </c>
      <c r="BA67" s="18">
        <f t="shared" si="25"/>
        <v>413027</v>
      </c>
    </row>
    <row r="68" spans="1:53" ht="12.9" hidden="1" outlineLevel="1" x14ac:dyDescent="0.5">
      <c r="A68" s="2" t="s">
        <v>26</v>
      </c>
      <c r="B68" s="2"/>
      <c r="C68" s="29"/>
      <c r="D68" s="29"/>
      <c r="E68" s="29"/>
      <c r="F68" s="29"/>
      <c r="G68" s="29">
        <v>50000</v>
      </c>
      <c r="H68" s="29">
        <v>-2000</v>
      </c>
      <c r="I68" s="29"/>
      <c r="J68" s="29"/>
      <c r="K68" s="29"/>
      <c r="L68" s="29"/>
      <c r="M68" s="29"/>
      <c r="N68" s="29"/>
      <c r="O68" s="29"/>
      <c r="P68" s="29"/>
      <c r="Q68" s="29"/>
      <c r="R68" s="29"/>
      <c r="S68" s="29"/>
      <c r="T68" s="29"/>
      <c r="U68" s="29"/>
      <c r="V68" s="29"/>
      <c r="W68" s="29"/>
      <c r="X68" s="29"/>
      <c r="Y68" s="29"/>
      <c r="Z68" s="29"/>
      <c r="AA68" s="29"/>
      <c r="AB68" s="29"/>
      <c r="AC68" s="29"/>
      <c r="AD68" s="29"/>
      <c r="AE68" s="29"/>
      <c r="AF68" s="29"/>
      <c r="AG68" s="29"/>
      <c r="AH68" s="29"/>
      <c r="AI68" s="29"/>
      <c r="AJ68" s="29"/>
      <c r="AK68" s="29"/>
      <c r="AL68" s="29"/>
      <c r="AM68" s="29"/>
      <c r="AN68" s="29"/>
      <c r="AO68" s="18"/>
      <c r="AP68" s="18"/>
      <c r="AQ68" s="18">
        <f>SUMIFS($C68:$V68,$C$7:$V$7,AQ$7)</f>
        <v>48000</v>
      </c>
      <c r="AR68" s="18"/>
      <c r="AS68" s="30"/>
      <c r="AT68" s="30"/>
      <c r="AU68" s="30"/>
      <c r="AV68" s="30"/>
      <c r="AW68" s="30"/>
      <c r="AX68" s="18">
        <f>SUMIFS($C68:$AL68,$C$7:$AL$7,AX$7)</f>
        <v>0</v>
      </c>
      <c r="AY68" s="2"/>
      <c r="AZ68" s="18">
        <f t="shared" si="25"/>
        <v>0</v>
      </c>
      <c r="BA68" s="18">
        <f t="shared" si="25"/>
        <v>0</v>
      </c>
    </row>
    <row r="69" spans="1:53" ht="12.9" outlineLevel="1" x14ac:dyDescent="0.5">
      <c r="A69" s="2" t="s">
        <v>21</v>
      </c>
      <c r="B69" s="2"/>
      <c r="C69" s="29"/>
      <c r="D69" s="29"/>
      <c r="E69" s="29"/>
      <c r="F69" s="29"/>
      <c r="G69" s="29"/>
      <c r="H69" s="29"/>
      <c r="I69" s="29"/>
      <c r="J69" s="29"/>
      <c r="K69" s="29"/>
      <c r="L69" s="29"/>
      <c r="M69" s="29"/>
      <c r="N69" s="29"/>
      <c r="O69" s="29"/>
      <c r="P69" s="29">
        <v>4363</v>
      </c>
      <c r="Q69" s="29">
        <v>345</v>
      </c>
      <c r="R69" s="29"/>
      <c r="S69" s="29">
        <v>782</v>
      </c>
      <c r="T69" s="29">
        <v>6133</v>
      </c>
      <c r="U69" s="29">
        <v>1564</v>
      </c>
      <c r="V69" s="29">
        <v>1260</v>
      </c>
      <c r="W69" s="29">
        <v>1524</v>
      </c>
      <c r="X69" s="29">
        <v>2056</v>
      </c>
      <c r="Y69" s="29">
        <v>359</v>
      </c>
      <c r="Z69" s="29">
        <v>3543</v>
      </c>
      <c r="AA69" s="29">
        <v>26</v>
      </c>
      <c r="AB69" s="29">
        <v>14292</v>
      </c>
      <c r="AC69" s="29">
        <v>308</v>
      </c>
      <c r="AD69" s="29">
        <v>20848</v>
      </c>
      <c r="AE69" s="29">
        <v>76065</v>
      </c>
      <c r="AF69" s="29">
        <v>17067</v>
      </c>
      <c r="AG69" s="29">
        <v>23470</v>
      </c>
      <c r="AH69" s="29">
        <v>40662</v>
      </c>
      <c r="AI69" s="29">
        <v>1551</v>
      </c>
      <c r="AJ69" s="29">
        <v>102349</v>
      </c>
      <c r="AK69" s="29">
        <v>24812</v>
      </c>
      <c r="AL69" s="29">
        <v>5118</v>
      </c>
      <c r="AM69" s="29">
        <f>AM22</f>
        <v>32512</v>
      </c>
      <c r="AN69" s="29">
        <v>15350</v>
      </c>
      <c r="AO69" s="18"/>
      <c r="AP69" s="18"/>
      <c r="AQ69" s="18"/>
      <c r="AR69" s="18"/>
      <c r="AS69" s="18">
        <f>SUMIFS($C69:$V69,$C$7:$V$7,AS$7)</f>
        <v>4708</v>
      </c>
      <c r="AT69" s="18">
        <f>SUMIFS($C69:$V69,$C$7:$V$7,AT$7)</f>
        <v>9739</v>
      </c>
      <c r="AU69" s="18">
        <f>SUMIFS($C69:$Z69,$C$7:$Z$7,AU$7)</f>
        <v>7482</v>
      </c>
      <c r="AV69" s="18">
        <f>SUMIFS($C69:$AD69,$C$7:$AD$7,AV$7)</f>
        <v>35474</v>
      </c>
      <c r="AW69" s="18">
        <f>SUMIFS($C69:$AH69,$C$7:$AH$7,AW$7)</f>
        <v>157264</v>
      </c>
      <c r="AX69" s="18">
        <f>SUMIFS($C69:$AL69,$C$7:$AL$7,AX$7)</f>
        <v>133830</v>
      </c>
      <c r="AY69" s="18"/>
      <c r="AZ69" s="18">
        <f t="shared" si="25"/>
        <v>82750</v>
      </c>
      <c r="BA69" s="18">
        <f t="shared" si="25"/>
        <v>164791</v>
      </c>
    </row>
    <row r="70" spans="1:53" ht="12.9" outlineLevel="1" x14ac:dyDescent="0.5">
      <c r="A70" s="2" t="s">
        <v>22</v>
      </c>
      <c r="B70" s="2"/>
      <c r="C70" s="29"/>
      <c r="D70" s="29"/>
      <c r="E70" s="29"/>
      <c r="F70" s="29"/>
      <c r="G70" s="29"/>
      <c r="H70" s="29"/>
      <c r="I70" s="29"/>
      <c r="J70" s="29"/>
      <c r="K70" s="29"/>
      <c r="L70" s="29"/>
      <c r="M70" s="29"/>
      <c r="N70" s="29"/>
      <c r="O70" s="29"/>
      <c r="P70" s="29"/>
      <c r="Q70" s="29"/>
      <c r="R70" s="29"/>
      <c r="S70" s="29"/>
      <c r="T70" s="29"/>
      <c r="U70" s="29"/>
      <c r="V70" s="29"/>
      <c r="W70" s="29"/>
      <c r="X70" s="29"/>
      <c r="Y70" s="29"/>
      <c r="Z70" s="29"/>
      <c r="AA70" s="29"/>
      <c r="AB70" s="29"/>
      <c r="AC70" s="29"/>
      <c r="AD70" s="29"/>
      <c r="AE70" s="29"/>
      <c r="AF70" s="29"/>
      <c r="AG70" s="29"/>
      <c r="AH70" s="29"/>
      <c r="AI70" s="29"/>
      <c r="AJ70" s="29"/>
      <c r="AK70" s="29"/>
      <c r="AL70" s="29">
        <v>117174</v>
      </c>
      <c r="AM70" s="29">
        <f>AM23</f>
        <v>14063</v>
      </c>
      <c r="AN70" s="29">
        <v>18804</v>
      </c>
      <c r="AO70" s="18"/>
      <c r="AP70" s="18"/>
      <c r="AQ70" s="18"/>
      <c r="AR70" s="18"/>
      <c r="AS70" s="18"/>
      <c r="AT70" s="18"/>
      <c r="AU70" s="18"/>
      <c r="AV70" s="18"/>
      <c r="AW70" s="18"/>
      <c r="AX70" s="18">
        <f>SUMIFS($C70:$AL70,$C$7:$AL$7,AX$7)</f>
        <v>117174</v>
      </c>
      <c r="AY70" s="2"/>
      <c r="AZ70" s="18">
        <f t="shared" si="25"/>
        <v>0</v>
      </c>
      <c r="BA70" s="18">
        <f t="shared" si="25"/>
        <v>131237</v>
      </c>
    </row>
    <row r="71" spans="1:53" ht="12.9" outlineLevel="1" x14ac:dyDescent="0.5">
      <c r="A71" s="2" t="s">
        <v>23</v>
      </c>
      <c r="B71" s="2"/>
      <c r="C71" s="29"/>
      <c r="D71" s="29"/>
      <c r="E71" s="29"/>
      <c r="F71" s="29"/>
      <c r="G71" s="29"/>
      <c r="H71" s="29"/>
      <c r="I71" s="29"/>
      <c r="J71" s="29"/>
      <c r="K71" s="29"/>
      <c r="L71" s="29"/>
      <c r="M71" s="29"/>
      <c r="N71" s="29"/>
      <c r="O71" s="29"/>
      <c r="P71" s="29"/>
      <c r="Q71" s="29"/>
      <c r="R71" s="29"/>
      <c r="S71" s="29"/>
      <c r="T71" s="29"/>
      <c r="U71" s="29"/>
      <c r="V71" s="29"/>
      <c r="W71" s="29"/>
      <c r="X71" s="29"/>
      <c r="Y71" s="29"/>
      <c r="Z71" s="29"/>
      <c r="AA71" s="29"/>
      <c r="AB71" s="29"/>
      <c r="AC71" s="29"/>
      <c r="AD71" s="29"/>
      <c r="AE71" s="29"/>
      <c r="AF71" s="29"/>
      <c r="AG71" s="29"/>
      <c r="AH71" s="29"/>
      <c r="AI71" s="29"/>
      <c r="AJ71" s="29"/>
      <c r="AK71" s="29"/>
      <c r="AL71" s="29"/>
      <c r="AM71" s="29">
        <f>AM24</f>
        <v>6637</v>
      </c>
      <c r="AN71" s="29"/>
      <c r="AO71" s="18"/>
      <c r="AP71" s="18"/>
      <c r="AQ71" s="18"/>
      <c r="AR71" s="18"/>
      <c r="AS71" s="18"/>
      <c r="AT71" s="18"/>
      <c r="AU71" s="18"/>
      <c r="AV71" s="18"/>
      <c r="AW71" s="18"/>
      <c r="AX71" s="18"/>
      <c r="AY71" s="2"/>
      <c r="AZ71" s="18">
        <f t="shared" si="25"/>
        <v>0</v>
      </c>
      <c r="BA71" s="18">
        <f t="shared" si="25"/>
        <v>6637</v>
      </c>
    </row>
    <row r="72" spans="1:53" ht="12.9" outlineLevel="1" x14ac:dyDescent="0.5">
      <c r="A72" s="2" t="s">
        <v>24</v>
      </c>
      <c r="B72" s="2"/>
      <c r="C72" s="29"/>
      <c r="D72" s="29"/>
      <c r="E72" s="29"/>
      <c r="F72" s="29"/>
      <c r="G72" s="29"/>
      <c r="H72" s="29"/>
      <c r="I72" s="29"/>
      <c r="J72" s="29"/>
      <c r="K72" s="29"/>
      <c r="L72" s="29"/>
      <c r="M72" s="29"/>
      <c r="N72" s="29"/>
      <c r="O72" s="29"/>
      <c r="P72" s="29"/>
      <c r="Q72" s="29"/>
      <c r="R72" s="29"/>
      <c r="S72" s="29"/>
      <c r="T72" s="29"/>
      <c r="U72" s="29"/>
      <c r="V72" s="29"/>
      <c r="W72" s="29"/>
      <c r="X72" s="29"/>
      <c r="Y72" s="29"/>
      <c r="Z72" s="29"/>
      <c r="AA72" s="29"/>
      <c r="AB72" s="29"/>
      <c r="AC72" s="29"/>
      <c r="AD72" s="29"/>
      <c r="AE72" s="29"/>
      <c r="AF72" s="29"/>
      <c r="AG72" s="29"/>
      <c r="AH72" s="29"/>
      <c r="AI72" s="29"/>
      <c r="AJ72" s="29"/>
      <c r="AK72" s="29"/>
      <c r="AL72" s="29">
        <v>132313</v>
      </c>
      <c r="AM72" s="29"/>
      <c r="AN72" s="29"/>
      <c r="AO72" s="18"/>
      <c r="AP72" s="18"/>
      <c r="AQ72" s="18"/>
      <c r="AR72" s="18"/>
      <c r="AS72" s="18"/>
      <c r="AT72" s="18"/>
      <c r="AU72" s="18"/>
      <c r="AV72" s="18"/>
      <c r="AW72" s="18"/>
      <c r="AX72" s="18">
        <f t="shared" ref="AX72:AX81" si="26">SUMIFS($C72:$AL72,$C$7:$AL$7,AX$7)</f>
        <v>132313</v>
      </c>
      <c r="AY72" s="2"/>
      <c r="AZ72" s="18">
        <f t="shared" si="25"/>
        <v>0</v>
      </c>
      <c r="BA72" s="18">
        <f t="shared" si="25"/>
        <v>132313</v>
      </c>
    </row>
    <row r="73" spans="1:53" ht="12.9" outlineLevel="1" x14ac:dyDescent="0.5">
      <c r="A73" s="2" t="s">
        <v>44</v>
      </c>
      <c r="B73" s="2"/>
      <c r="C73" s="29">
        <v>414</v>
      </c>
      <c r="D73" s="29">
        <v>444</v>
      </c>
      <c r="E73" s="29">
        <v>137</v>
      </c>
      <c r="F73" s="29">
        <v>168</v>
      </c>
      <c r="G73" s="29">
        <v>69</v>
      </c>
      <c r="H73" s="29">
        <v>-129</v>
      </c>
      <c r="I73" s="29">
        <v>-183</v>
      </c>
      <c r="J73" s="29">
        <v>-290</v>
      </c>
      <c r="K73" s="29">
        <v>996</v>
      </c>
      <c r="L73" s="29">
        <v>3494</v>
      </c>
      <c r="M73" s="29">
        <v>3080</v>
      </c>
      <c r="N73" s="29">
        <v>2483</v>
      </c>
      <c r="O73" s="29">
        <v>2112</v>
      </c>
      <c r="P73" s="29">
        <v>3470</v>
      </c>
      <c r="Q73" s="29">
        <v>7224</v>
      </c>
      <c r="R73" s="29">
        <v>5176</v>
      </c>
      <c r="S73" s="29">
        <v>4681</v>
      </c>
      <c r="T73" s="29">
        <v>5143</v>
      </c>
      <c r="U73" s="29">
        <v>5632</v>
      </c>
      <c r="V73" s="29">
        <v>6060</v>
      </c>
      <c r="W73" s="29">
        <v>9206</v>
      </c>
      <c r="X73" s="29">
        <v>14769</v>
      </c>
      <c r="Y73" s="29">
        <v>14980</v>
      </c>
      <c r="Z73" s="29">
        <v>17988</v>
      </c>
      <c r="AA73" s="29">
        <v>253</v>
      </c>
      <c r="AB73" s="29">
        <v>6464</v>
      </c>
      <c r="AC73" s="29">
        <v>13409</v>
      </c>
      <c r="AD73" s="29">
        <v>12998</v>
      </c>
      <c r="AE73" s="29">
        <v>15748</v>
      </c>
      <c r="AF73" s="29">
        <v>12966</v>
      </c>
      <c r="AG73" s="29">
        <v>6042</v>
      </c>
      <c r="AH73" s="29">
        <v>1472</v>
      </c>
      <c r="AI73" s="29">
        <v>-3161</v>
      </c>
      <c r="AJ73" s="29">
        <v>-3944</v>
      </c>
      <c r="AK73" s="29">
        <v>-21415</v>
      </c>
      <c r="AL73" s="29">
        <v>-18701</v>
      </c>
      <c r="AM73" s="29">
        <f>'[23]GAAP IS'!AM36</f>
        <v>-18745</v>
      </c>
      <c r="AN73" s="29">
        <v>-1871</v>
      </c>
      <c r="AO73" s="18"/>
      <c r="AP73" s="18">
        <f t="shared" ref="AP73:AT74" si="27">SUMIFS($C73:$V73,$C$7:$V$7,AP$7)</f>
        <v>1163</v>
      </c>
      <c r="AQ73" s="18">
        <f t="shared" si="27"/>
        <v>-533</v>
      </c>
      <c r="AR73" s="18">
        <f t="shared" si="27"/>
        <v>10053</v>
      </c>
      <c r="AS73" s="18">
        <f t="shared" si="27"/>
        <v>17982</v>
      </c>
      <c r="AT73" s="18">
        <f t="shared" si="27"/>
        <v>21516</v>
      </c>
      <c r="AU73" s="18">
        <f>SUMIFS($C73:$Z73,$C$7:$Z$7,AU$7)</f>
        <v>56943</v>
      </c>
      <c r="AV73" s="18">
        <f>SUMIFS($C73:$AD73,$C$7:$AD$7,AV$7)</f>
        <v>33124</v>
      </c>
      <c r="AW73" s="18">
        <f>SUMIFS($C73:$AH73,$C$7:$AH$7,AW$7)</f>
        <v>36228</v>
      </c>
      <c r="AX73" s="18">
        <f t="shared" si="26"/>
        <v>-47221</v>
      </c>
      <c r="AY73" s="2"/>
      <c r="AZ73" s="18">
        <f t="shared" si="25"/>
        <v>17319</v>
      </c>
      <c r="BA73" s="18">
        <f t="shared" si="25"/>
        <v>-62805</v>
      </c>
    </row>
    <row r="74" spans="1:53" ht="12.9" outlineLevel="1" x14ac:dyDescent="0.5">
      <c r="A74" s="2" t="s">
        <v>45</v>
      </c>
      <c r="B74" s="2"/>
      <c r="C74" s="29">
        <v>796</v>
      </c>
      <c r="D74" s="29">
        <v>-50</v>
      </c>
      <c r="E74" s="29">
        <v>644</v>
      </c>
      <c r="F74" s="29">
        <v>-940</v>
      </c>
      <c r="G74" s="29">
        <v>-786</v>
      </c>
      <c r="H74" s="29">
        <v>-198</v>
      </c>
      <c r="I74" s="29">
        <v>294</v>
      </c>
      <c r="J74" s="29">
        <v>443</v>
      </c>
      <c r="K74" s="29">
        <v>-497</v>
      </c>
      <c r="L74" s="29">
        <v>-228</v>
      </c>
      <c r="M74" s="29">
        <v>-1226</v>
      </c>
      <c r="N74" s="29">
        <v>356</v>
      </c>
      <c r="O74" s="29">
        <v>707</v>
      </c>
      <c r="P74" s="29">
        <v>-815</v>
      </c>
      <c r="Q74" s="29">
        <v>-37800</v>
      </c>
      <c r="R74" s="29">
        <v>19439</v>
      </c>
      <c r="S74" s="29">
        <v>11299</v>
      </c>
      <c r="T74" s="29">
        <v>1230</v>
      </c>
      <c r="U74" s="29">
        <v>-5541</v>
      </c>
      <c r="V74" s="29">
        <v>-6715</v>
      </c>
      <c r="W74" s="29">
        <v>5862</v>
      </c>
      <c r="X74" s="29">
        <v>-25591</v>
      </c>
      <c r="Y74" s="29">
        <v>-784</v>
      </c>
      <c r="Z74" s="29">
        <v>-271212</v>
      </c>
      <c r="AA74" s="29">
        <v>27528</v>
      </c>
      <c r="AB74" s="29">
        <v>-75788</v>
      </c>
      <c r="AC74" s="29">
        <v>12011</v>
      </c>
      <c r="AD74" s="29">
        <v>6775</v>
      </c>
      <c r="AE74" s="29">
        <v>-33472</v>
      </c>
      <c r="AF74" s="29">
        <v>-18766</v>
      </c>
      <c r="AG74" s="29">
        <v>-18798</v>
      </c>
      <c r="AH74" s="29">
        <v>-24407</v>
      </c>
      <c r="AI74" s="29">
        <v>18371</v>
      </c>
      <c r="AJ74" s="29">
        <v>1379</v>
      </c>
      <c r="AK74" s="29">
        <v>-4262</v>
      </c>
      <c r="AL74" s="29">
        <v>-217963</v>
      </c>
      <c r="AM74" s="29">
        <f>'[23]GAAP IS'!AM37</f>
        <v>-237824</v>
      </c>
      <c r="AN74" s="29">
        <v>59532</v>
      </c>
      <c r="AO74" s="18"/>
      <c r="AP74" s="18">
        <f t="shared" si="27"/>
        <v>450</v>
      </c>
      <c r="AQ74" s="18">
        <f t="shared" si="27"/>
        <v>-247</v>
      </c>
      <c r="AR74" s="18">
        <f t="shared" si="27"/>
        <v>-1595</v>
      </c>
      <c r="AS74" s="18">
        <f t="shared" si="27"/>
        <v>-18469</v>
      </c>
      <c r="AT74" s="18">
        <f t="shared" si="27"/>
        <v>273</v>
      </c>
      <c r="AU74" s="18">
        <f>SUMIFS($C74:$Z74,$C$7:$Z$7,AU$7)</f>
        <v>-291725</v>
      </c>
      <c r="AV74" s="18">
        <f>SUMIFS($C74:$AD74,$C$7:$AD$7,AV$7)</f>
        <v>-29474</v>
      </c>
      <c r="AW74" s="18">
        <f>SUMIFS($C74:$AH74,$C$7:$AH$7,AW$7)</f>
        <v>-95443</v>
      </c>
      <c r="AX74" s="18">
        <f t="shared" si="26"/>
        <v>-202475</v>
      </c>
      <c r="AY74" s="2"/>
      <c r="AZ74" s="18">
        <f t="shared" si="25"/>
        <v>-43600</v>
      </c>
      <c r="BA74" s="18">
        <f t="shared" si="25"/>
        <v>-458670</v>
      </c>
    </row>
    <row r="75" spans="1:53" ht="12.9" outlineLevel="1" x14ac:dyDescent="0.5">
      <c r="A75" s="2" t="s">
        <v>25</v>
      </c>
      <c r="B75" s="2"/>
      <c r="C75" s="29"/>
      <c r="D75" s="29"/>
      <c r="E75" s="29"/>
      <c r="F75" s="29"/>
      <c r="G75" s="29"/>
      <c r="H75" s="29"/>
      <c r="I75" s="29"/>
      <c r="J75" s="29"/>
      <c r="K75" s="29"/>
      <c r="L75" s="29"/>
      <c r="M75" s="29"/>
      <c r="N75" s="29"/>
      <c r="O75" s="29"/>
      <c r="P75" s="29"/>
      <c r="Q75" s="29"/>
      <c r="R75" s="29"/>
      <c r="S75" s="29"/>
      <c r="T75" s="29"/>
      <c r="U75" s="29"/>
      <c r="V75" s="29"/>
      <c r="W75" s="29"/>
      <c r="X75" s="29"/>
      <c r="Y75" s="29"/>
      <c r="Z75" s="29"/>
      <c r="AA75" s="29">
        <v>19860</v>
      </c>
      <c r="AB75" s="29">
        <v>45266</v>
      </c>
      <c r="AC75" s="29">
        <v>6000</v>
      </c>
      <c r="AD75" s="29">
        <v>0</v>
      </c>
      <c r="AE75" s="29">
        <v>0</v>
      </c>
      <c r="AF75" s="29">
        <v>35961</v>
      </c>
      <c r="AG75" s="29">
        <v>1619</v>
      </c>
      <c r="AH75" s="29">
        <v>8991</v>
      </c>
      <c r="AI75" s="29">
        <v>0</v>
      </c>
      <c r="AJ75" s="29">
        <v>0</v>
      </c>
      <c r="AK75" s="29">
        <v>0</v>
      </c>
      <c r="AL75" s="29">
        <v>0</v>
      </c>
      <c r="AM75" s="29">
        <v>0</v>
      </c>
      <c r="AN75" s="29">
        <v>0</v>
      </c>
      <c r="AO75" s="18"/>
      <c r="AP75" s="18"/>
      <c r="AQ75" s="18"/>
      <c r="AR75" s="18"/>
      <c r="AS75" s="18"/>
      <c r="AT75" s="18"/>
      <c r="AU75" s="18"/>
      <c r="AV75" s="18">
        <f>SUMIFS($C75:$AD75,$C$7:$AD$7,AV$7)</f>
        <v>71126</v>
      </c>
      <c r="AW75" s="18">
        <f>SUMIFS($C75:$AH75,$C$7:$AH$7,AW$7)</f>
        <v>46571</v>
      </c>
      <c r="AX75" s="18">
        <f t="shared" si="26"/>
        <v>0</v>
      </c>
      <c r="AY75" s="18"/>
      <c r="AZ75" s="18">
        <f t="shared" si="25"/>
        <v>46571</v>
      </c>
      <c r="BA75" s="18">
        <f t="shared" si="25"/>
        <v>0</v>
      </c>
    </row>
    <row r="76" spans="1:53" ht="12.9" outlineLevel="1" x14ac:dyDescent="0.5">
      <c r="A76" s="2" t="s">
        <v>46</v>
      </c>
      <c r="B76" s="2"/>
      <c r="C76" s="29">
        <v>418</v>
      </c>
      <c r="D76" s="29">
        <v>1152</v>
      </c>
      <c r="E76" s="29">
        <v>932</v>
      </c>
      <c r="F76" s="29">
        <v>1244</v>
      </c>
      <c r="G76" s="29">
        <v>339</v>
      </c>
      <c r="H76" s="29">
        <v>312</v>
      </c>
      <c r="I76" s="29">
        <v>230</v>
      </c>
      <c r="J76" s="29">
        <v>1036</v>
      </c>
      <c r="K76" s="29">
        <v>509</v>
      </c>
      <c r="L76" s="29">
        <v>472</v>
      </c>
      <c r="M76" s="29">
        <v>-647</v>
      </c>
      <c r="N76" s="29">
        <v>-185</v>
      </c>
      <c r="O76" s="29">
        <v>175</v>
      </c>
      <c r="P76" s="29">
        <v>604</v>
      </c>
      <c r="Q76" s="29">
        <v>1066</v>
      </c>
      <c r="R76" s="29">
        <v>481</v>
      </c>
      <c r="S76" s="29">
        <v>129</v>
      </c>
      <c r="T76" s="29">
        <v>-476</v>
      </c>
      <c r="U76" s="29">
        <v>2606</v>
      </c>
      <c r="V76" s="29">
        <v>508</v>
      </c>
      <c r="W76" s="29">
        <v>535</v>
      </c>
      <c r="X76" s="29">
        <v>-752</v>
      </c>
      <c r="Y76" s="29">
        <v>-1369</v>
      </c>
      <c r="Z76" s="29">
        <v>4448</v>
      </c>
      <c r="AA76" s="29">
        <v>947</v>
      </c>
      <c r="AB76" s="29">
        <v>-9360</v>
      </c>
      <c r="AC76" s="29">
        <v>452</v>
      </c>
      <c r="AD76" s="29">
        <v>6597</v>
      </c>
      <c r="AE76" s="29">
        <v>-1702</v>
      </c>
      <c r="AF76" s="29">
        <v>1304</v>
      </c>
      <c r="AG76" s="29">
        <v>-17289</v>
      </c>
      <c r="AH76" s="29">
        <v>5375</v>
      </c>
      <c r="AI76" s="29">
        <v>-2056</v>
      </c>
      <c r="AJ76" s="29">
        <v>-3700</v>
      </c>
      <c r="AK76" s="29">
        <v>49529</v>
      </c>
      <c r="AL76" s="29">
        <v>-51792</v>
      </c>
      <c r="AM76" s="29">
        <f>'[23]GAAP IS'!AM39</f>
        <v>35492</v>
      </c>
      <c r="AN76" s="29">
        <v>59029</v>
      </c>
      <c r="AO76" s="18"/>
      <c r="AP76" s="18">
        <f t="shared" ref="AP76:AT77" si="28">SUMIFS($C76:$V76,$C$7:$V$7,AP$7)</f>
        <v>3746</v>
      </c>
      <c r="AQ76" s="18">
        <f t="shared" si="28"/>
        <v>1917</v>
      </c>
      <c r="AR76" s="18">
        <f t="shared" si="28"/>
        <v>149</v>
      </c>
      <c r="AS76" s="18">
        <f t="shared" si="28"/>
        <v>2326</v>
      </c>
      <c r="AT76" s="18">
        <f t="shared" si="28"/>
        <v>2767</v>
      </c>
      <c r="AU76" s="18">
        <f>SUMIFS($C76:$Z76,$C$7:$Z$7,AU$7)</f>
        <v>2862</v>
      </c>
      <c r="AV76" s="18">
        <f>SUMIFS($C76:$AD76,$C$7:$AD$7,AV$7)</f>
        <v>-1364</v>
      </c>
      <c r="AW76" s="18">
        <f>SUMIFS($C76:$AH76,$C$7:$AH$7,AW$7)</f>
        <v>-12312</v>
      </c>
      <c r="AX76" s="18">
        <f t="shared" si="26"/>
        <v>-8019</v>
      </c>
      <c r="AY76" s="18"/>
      <c r="AZ76" s="18">
        <f t="shared" si="25"/>
        <v>-12666</v>
      </c>
      <c r="BA76" s="18">
        <f t="shared" si="25"/>
        <v>29529</v>
      </c>
    </row>
    <row r="77" spans="1:53" ht="12.9" outlineLevel="1" x14ac:dyDescent="0.5">
      <c r="A77" s="2" t="s">
        <v>27</v>
      </c>
      <c r="B77" s="2"/>
      <c r="C77" s="29">
        <v>240</v>
      </c>
      <c r="D77" s="29"/>
      <c r="E77" s="29"/>
      <c r="F77" s="29">
        <v>30</v>
      </c>
      <c r="G77" s="29">
        <v>-38</v>
      </c>
      <c r="H77" s="29">
        <v>169</v>
      </c>
      <c r="I77" s="29">
        <v>-219</v>
      </c>
      <c r="J77" s="29">
        <v>39</v>
      </c>
      <c r="K77" s="29"/>
      <c r="L77" s="29">
        <v>2</v>
      </c>
      <c r="M77" s="29">
        <v>62</v>
      </c>
      <c r="N77" s="29">
        <v>36</v>
      </c>
      <c r="O77" s="29">
        <v>-98</v>
      </c>
      <c r="P77" s="29">
        <v>73</v>
      </c>
      <c r="Q77" s="29">
        <v>806</v>
      </c>
      <c r="R77" s="29">
        <v>-1005</v>
      </c>
      <c r="S77" s="29">
        <v>19</v>
      </c>
      <c r="T77" s="29">
        <v>281</v>
      </c>
      <c r="U77" s="29">
        <v>128</v>
      </c>
      <c r="V77" s="29">
        <v>580</v>
      </c>
      <c r="W77" s="29">
        <v>218</v>
      </c>
      <c r="X77" s="29">
        <v>1481</v>
      </c>
      <c r="Y77" s="29">
        <v>396</v>
      </c>
      <c r="Z77" s="29">
        <v>475</v>
      </c>
      <c r="AA77" s="29">
        <v>615</v>
      </c>
      <c r="AB77" s="29">
        <v>374</v>
      </c>
      <c r="AC77" s="29">
        <v>877</v>
      </c>
      <c r="AD77" s="29">
        <v>767</v>
      </c>
      <c r="AE77" s="29">
        <v>534</v>
      </c>
      <c r="AF77" s="29">
        <v>548</v>
      </c>
      <c r="AG77" s="29">
        <v>-447</v>
      </c>
      <c r="AH77" s="29">
        <v>984</v>
      </c>
      <c r="AI77" s="29">
        <v>191</v>
      </c>
      <c r="AJ77" s="29">
        <v>343</v>
      </c>
      <c r="AK77" s="29">
        <v>1355</v>
      </c>
      <c r="AL77" s="29">
        <v>1297</v>
      </c>
      <c r="AM77" s="29">
        <f>AM28</f>
        <v>-71</v>
      </c>
      <c r="AN77" s="29">
        <v>1471</v>
      </c>
      <c r="AO77" s="18"/>
      <c r="AP77" s="18">
        <f t="shared" si="28"/>
        <v>270</v>
      </c>
      <c r="AQ77" s="18">
        <f t="shared" si="28"/>
        <v>-49</v>
      </c>
      <c r="AR77" s="18">
        <f t="shared" si="28"/>
        <v>100</v>
      </c>
      <c r="AS77" s="18">
        <f t="shared" si="28"/>
        <v>-224</v>
      </c>
      <c r="AT77" s="18">
        <f t="shared" si="28"/>
        <v>1008</v>
      </c>
      <c r="AU77" s="18">
        <f>SUMIFS($C77:$Z77,$C$7:$Z$7,AU$7)</f>
        <v>2570</v>
      </c>
      <c r="AV77" s="18">
        <f>SUMIFS($C77:$AD77,$C$7:$AD$7,AV$7)</f>
        <v>2633</v>
      </c>
      <c r="AW77" s="18">
        <f>SUMIFS($C77:$AH77,$C$7:$AH$7,AW$7)</f>
        <v>1619</v>
      </c>
      <c r="AX77" s="18">
        <f t="shared" si="26"/>
        <v>3186</v>
      </c>
      <c r="AY77" s="18"/>
      <c r="AZ77" s="18">
        <f t="shared" si="25"/>
        <v>1276</v>
      </c>
      <c r="BA77" s="18">
        <f t="shared" si="25"/>
        <v>2924</v>
      </c>
    </row>
    <row r="78" spans="1:53" ht="12.9" outlineLevel="1" x14ac:dyDescent="0.5">
      <c r="A78" s="2" t="s">
        <v>47</v>
      </c>
      <c r="B78" s="2"/>
      <c r="C78" s="29"/>
      <c r="D78" s="29"/>
      <c r="E78" s="29"/>
      <c r="F78" s="29"/>
      <c r="G78" s="29"/>
      <c r="H78" s="29"/>
      <c r="I78" s="29"/>
      <c r="J78" s="29"/>
      <c r="K78" s="29"/>
      <c r="L78" s="29"/>
      <c r="M78" s="29"/>
      <c r="N78" s="29"/>
      <c r="O78" s="29"/>
      <c r="P78" s="29"/>
      <c r="Q78" s="29"/>
      <c r="R78" s="29"/>
      <c r="S78" s="29"/>
      <c r="T78" s="29"/>
      <c r="U78" s="29"/>
      <c r="V78" s="29"/>
      <c r="W78" s="29"/>
      <c r="X78" s="29"/>
      <c r="Y78" s="29"/>
      <c r="Z78" s="29"/>
      <c r="AA78" s="29"/>
      <c r="AB78" s="29"/>
      <c r="AC78" s="29"/>
      <c r="AD78" s="29"/>
      <c r="AE78" s="29"/>
      <c r="AF78" s="29"/>
      <c r="AG78" s="29"/>
      <c r="AH78" s="29"/>
      <c r="AI78" s="29"/>
      <c r="AJ78" s="29"/>
      <c r="AK78" s="29"/>
      <c r="AL78" s="29"/>
      <c r="AM78" s="29"/>
      <c r="AN78" s="29"/>
      <c r="AO78" s="18"/>
      <c r="AP78" s="18"/>
      <c r="AQ78" s="18"/>
      <c r="AR78" s="18"/>
      <c r="AS78" s="18"/>
      <c r="AT78" s="18"/>
      <c r="AU78" s="18"/>
      <c r="AV78" s="18"/>
      <c r="AW78" s="18"/>
      <c r="AX78" s="18">
        <f t="shared" si="26"/>
        <v>0</v>
      </c>
      <c r="AY78" s="18"/>
      <c r="AZ78" s="18">
        <f t="shared" si="25"/>
        <v>0</v>
      </c>
      <c r="BA78" s="18">
        <f t="shared" si="25"/>
        <v>0</v>
      </c>
    </row>
    <row r="79" spans="1:53" ht="12.9" outlineLevel="1" x14ac:dyDescent="0.5">
      <c r="A79" s="2" t="s">
        <v>48</v>
      </c>
      <c r="B79" s="2"/>
      <c r="C79" s="29"/>
      <c r="D79" s="29"/>
      <c r="E79" s="29"/>
      <c r="F79" s="29"/>
      <c r="G79" s="29"/>
      <c r="H79" s="29"/>
      <c r="I79" s="29"/>
      <c r="J79" s="29"/>
      <c r="K79" s="29"/>
      <c r="L79" s="29"/>
      <c r="M79" s="29"/>
      <c r="N79" s="29"/>
      <c r="O79" s="29"/>
      <c r="P79" s="29"/>
      <c r="Q79" s="29"/>
      <c r="R79" s="29"/>
      <c r="S79" s="29"/>
      <c r="T79" s="29"/>
      <c r="U79" s="29"/>
      <c r="V79" s="29">
        <v>-373445</v>
      </c>
      <c r="W79" s="29"/>
      <c r="X79" s="29"/>
      <c r="Y79" s="29"/>
      <c r="Z79" s="29"/>
      <c r="AA79" s="29"/>
      <c r="AB79" s="29"/>
      <c r="AC79" s="29"/>
      <c r="AD79" s="29"/>
      <c r="AE79" s="29"/>
      <c r="AF79" s="29"/>
      <c r="AG79" s="29"/>
      <c r="AH79" s="29"/>
      <c r="AI79" s="29"/>
      <c r="AJ79" s="29"/>
      <c r="AK79" s="29"/>
      <c r="AL79" s="29"/>
      <c r="AM79" s="29"/>
      <c r="AN79" s="29"/>
      <c r="AO79" s="18"/>
      <c r="AP79" s="18"/>
      <c r="AQ79" s="18"/>
      <c r="AR79" s="18"/>
      <c r="AS79" s="18"/>
      <c r="AT79" s="18"/>
      <c r="AU79" s="18"/>
      <c r="AV79" s="18"/>
      <c r="AW79" s="18"/>
      <c r="AX79" s="18">
        <f t="shared" si="26"/>
        <v>0</v>
      </c>
      <c r="AY79" s="18"/>
      <c r="AZ79" s="18">
        <f t="shared" si="25"/>
        <v>0</v>
      </c>
      <c r="BA79" s="18">
        <f t="shared" si="25"/>
        <v>0</v>
      </c>
    </row>
    <row r="80" spans="1:53" ht="12.9" outlineLevel="1" x14ac:dyDescent="0.5">
      <c r="A80" s="2" t="s">
        <v>49</v>
      </c>
      <c r="B80" s="2"/>
      <c r="C80" s="29"/>
      <c r="D80" s="29"/>
      <c r="E80" s="29"/>
      <c r="F80" s="29"/>
      <c r="G80" s="29"/>
      <c r="H80" s="29"/>
      <c r="I80" s="29"/>
      <c r="J80" s="29"/>
      <c r="K80" s="29"/>
      <c r="L80" s="29"/>
      <c r="M80" s="29"/>
      <c r="N80" s="29"/>
      <c r="O80" s="29"/>
      <c r="P80" s="29">
        <v>2086</v>
      </c>
      <c r="Q80" s="29">
        <v>4965</v>
      </c>
      <c r="R80" s="29">
        <v>3760</v>
      </c>
      <c r="S80" s="29">
        <v>2879</v>
      </c>
      <c r="T80" s="29">
        <v>1484</v>
      </c>
      <c r="U80" s="29">
        <v>986</v>
      </c>
      <c r="V80" s="29">
        <v>739</v>
      </c>
      <c r="W80" s="29">
        <v>513</v>
      </c>
      <c r="X80" s="29">
        <v>210</v>
      </c>
      <c r="Y80" s="29">
        <v>210</v>
      </c>
      <c r="Z80" s="29">
        <v>189</v>
      </c>
      <c r="AA80" s="29">
        <v>188</v>
      </c>
      <c r="AB80" s="29">
        <v>135</v>
      </c>
      <c r="AC80" s="29">
        <v>104</v>
      </c>
      <c r="AD80" s="29">
        <v>87</v>
      </c>
      <c r="AE80" s="29">
        <v>72</v>
      </c>
      <c r="AF80" s="29">
        <v>62</v>
      </c>
      <c r="AG80" s="29">
        <v>53</v>
      </c>
      <c r="AH80" s="29">
        <v>43</v>
      </c>
      <c r="AI80" s="29">
        <v>33</v>
      </c>
      <c r="AJ80" s="29">
        <v>24</v>
      </c>
      <c r="AK80" s="29">
        <v>21</v>
      </c>
      <c r="AL80" s="29">
        <v>21</v>
      </c>
      <c r="AM80" s="29">
        <v>19</v>
      </c>
      <c r="AN80" s="29">
        <v>18</v>
      </c>
      <c r="AO80" s="18"/>
      <c r="AP80" s="18"/>
      <c r="AQ80" s="18"/>
      <c r="AR80" s="18"/>
      <c r="AS80" s="18">
        <f>SUMIFS($C80:$V80,$C$7:$V$7,AS$7)</f>
        <v>10811</v>
      </c>
      <c r="AT80" s="18">
        <f>SUMIFS($C80:$V80,$C$7:$V$7,AT$7)</f>
        <v>6088</v>
      </c>
      <c r="AU80" s="18">
        <f>SUMIFS($C80:$Z80,$C$7:$Z$7,AU$7)</f>
        <v>1122</v>
      </c>
      <c r="AV80" s="18">
        <f>SUMIFS($C80:$AD80,$C$7:$AD$7,AV$7)</f>
        <v>514</v>
      </c>
      <c r="AW80" s="18">
        <f>SUMIFS($C80:$AH80,$C$7:$AH$7,AW$7)</f>
        <v>230</v>
      </c>
      <c r="AX80" s="18">
        <f t="shared" si="26"/>
        <v>99</v>
      </c>
      <c r="AY80" s="18"/>
      <c r="AZ80" s="18">
        <f t="shared" si="25"/>
        <v>191</v>
      </c>
      <c r="BA80" s="18">
        <f t="shared" si="25"/>
        <v>85</v>
      </c>
    </row>
    <row r="81" spans="1:53" ht="12.9" outlineLevel="1" x14ac:dyDescent="0.5">
      <c r="A81" s="7" t="s">
        <v>30</v>
      </c>
      <c r="B81" s="2"/>
      <c r="C81" s="20">
        <f t="shared" ref="C81:AM81" si="29">SUM(C63:C80)</f>
        <v>-20129</v>
      </c>
      <c r="D81" s="20">
        <f t="shared" si="29"/>
        <v>859</v>
      </c>
      <c r="E81" s="20">
        <f t="shared" si="29"/>
        <v>-15776</v>
      </c>
      <c r="F81" s="20">
        <f t="shared" si="29"/>
        <v>-6069</v>
      </c>
      <c r="G81" s="20">
        <f t="shared" si="29"/>
        <v>-9083</v>
      </c>
      <c r="H81" s="20">
        <f t="shared" si="29"/>
        <v>12554</v>
      </c>
      <c r="I81" s="20">
        <f t="shared" si="29"/>
        <v>11623</v>
      </c>
      <c r="J81" s="20">
        <f t="shared" si="29"/>
        <v>29793</v>
      </c>
      <c r="K81" s="20">
        <f t="shared" si="29"/>
        <v>27025</v>
      </c>
      <c r="L81" s="20">
        <f t="shared" si="29"/>
        <v>36496</v>
      </c>
      <c r="M81" s="20">
        <f t="shared" si="29"/>
        <v>34304</v>
      </c>
      <c r="N81" s="20">
        <f t="shared" si="29"/>
        <v>41184</v>
      </c>
      <c r="O81" s="20">
        <f t="shared" si="29"/>
        <v>35894</v>
      </c>
      <c r="P81" s="20">
        <f t="shared" si="29"/>
        <v>68322</v>
      </c>
      <c r="Q81" s="20">
        <f t="shared" si="29"/>
        <v>70997</v>
      </c>
      <c r="R81" s="20">
        <f t="shared" si="29"/>
        <v>81310</v>
      </c>
      <c r="S81" s="20">
        <f t="shared" si="29"/>
        <v>61697</v>
      </c>
      <c r="T81" s="20">
        <f t="shared" si="29"/>
        <v>105304</v>
      </c>
      <c r="U81" s="20">
        <f t="shared" si="29"/>
        <v>131323</v>
      </c>
      <c r="V81" s="20">
        <f t="shared" si="29"/>
        <v>118529</v>
      </c>
      <c r="W81" s="20">
        <f t="shared" si="29"/>
        <v>9331</v>
      </c>
      <c r="X81" s="20">
        <f t="shared" si="29"/>
        <v>97931</v>
      </c>
      <c r="Y81" s="20">
        <f t="shared" si="29"/>
        <v>181320</v>
      </c>
      <c r="Z81" s="20">
        <f t="shared" si="29"/>
        <v>185489</v>
      </c>
      <c r="AA81" s="20">
        <f t="shared" si="29"/>
        <v>236247</v>
      </c>
      <c r="AB81" s="20">
        <f t="shared" si="29"/>
        <v>359822</v>
      </c>
      <c r="AC81" s="20">
        <f t="shared" si="29"/>
        <v>233406</v>
      </c>
      <c r="AD81" s="20">
        <f t="shared" si="29"/>
        <v>184180</v>
      </c>
      <c r="AE81" s="20">
        <f t="shared" si="29"/>
        <v>195361</v>
      </c>
      <c r="AF81" s="20">
        <f t="shared" si="29"/>
        <v>187342</v>
      </c>
      <c r="AG81" s="20">
        <f t="shared" si="29"/>
        <v>327360</v>
      </c>
      <c r="AH81" s="20">
        <f t="shared" si="29"/>
        <v>280901</v>
      </c>
      <c r="AI81" s="20">
        <f t="shared" si="29"/>
        <v>368367</v>
      </c>
      <c r="AJ81" s="20">
        <f t="shared" si="29"/>
        <v>384402</v>
      </c>
      <c r="AK81" s="20">
        <f t="shared" si="29"/>
        <v>477488</v>
      </c>
      <c r="AL81" s="20">
        <f t="shared" si="29"/>
        <v>562163</v>
      </c>
      <c r="AM81" s="20">
        <f t="shared" si="29"/>
        <v>705074</v>
      </c>
      <c r="AN81" s="20">
        <v>759476</v>
      </c>
      <c r="AO81" s="20"/>
      <c r="AP81" s="20">
        <f>SUMIFS($C81:$V81,$C$7:$V$7,AP$7)</f>
        <v>-41115</v>
      </c>
      <c r="AQ81" s="20">
        <f>SUMIFS($C81:$V81,$C$7:$V$7,AQ$7)</f>
        <v>44887</v>
      </c>
      <c r="AR81" s="20">
        <f>SUMIFS($C81:$V81,$C$7:$V$7,AR$7)</f>
        <v>139009</v>
      </c>
      <c r="AS81" s="20">
        <f>SUMIFS($C81:$V81,$C$7:$V$7,AS$7)</f>
        <v>256523</v>
      </c>
      <c r="AT81" s="20">
        <f>SUMIFS($C81:$V81,$C$7:$V$7,AT$7)</f>
        <v>416853</v>
      </c>
      <c r="AU81" s="20">
        <f>SUMIFS($C81:$Z81,$C$7:$Z$7,AU$7)</f>
        <v>474071</v>
      </c>
      <c r="AV81" s="20">
        <f>SUM(AV63:AV80)</f>
        <v>1013655</v>
      </c>
      <c r="AW81" s="20">
        <f>SUMIFS($C81:$AH81,$C$7:$AH$7,AW$7)</f>
        <v>990964</v>
      </c>
      <c r="AX81" s="20">
        <f t="shared" si="26"/>
        <v>1792420</v>
      </c>
      <c r="AY81" s="20"/>
      <c r="AZ81" s="20">
        <f t="shared" si="25"/>
        <v>1163970</v>
      </c>
      <c r="BA81" s="20">
        <f t="shared" si="25"/>
        <v>2129127</v>
      </c>
    </row>
    <row r="82" spans="1:53" ht="12.9" x14ac:dyDescent="0.5">
      <c r="A82" s="43" t="s">
        <v>50</v>
      </c>
      <c r="B82" s="2"/>
      <c r="AD82" s="16"/>
      <c r="AE82" s="16"/>
      <c r="AF82" s="16"/>
      <c r="AG82" s="16"/>
      <c r="AH82" s="44"/>
      <c r="AI82" s="44"/>
      <c r="AJ82" s="44"/>
      <c r="AK82" s="44"/>
      <c r="AL82" s="44"/>
      <c r="AM82" s="44"/>
      <c r="AN82" s="44"/>
      <c r="AO82" s="28"/>
      <c r="AP82" s="28"/>
      <c r="AQ82" s="28"/>
      <c r="AR82" s="28"/>
      <c r="AS82" s="28"/>
      <c r="AT82" s="28"/>
      <c r="AU82" s="28"/>
      <c r="AV82" s="28"/>
      <c r="AW82" s="44"/>
      <c r="AX82" s="44"/>
      <c r="AY82" s="28"/>
    </row>
    <row r="83" spans="1:53" ht="12.9" x14ac:dyDescent="0.5">
      <c r="A83" s="2" t="s">
        <v>51</v>
      </c>
      <c r="B83" s="2"/>
      <c r="W83" s="45"/>
      <c r="X83" s="45"/>
      <c r="Y83" s="45"/>
      <c r="Z83" s="45"/>
      <c r="AA83" s="45"/>
      <c r="AB83" s="45"/>
      <c r="AC83" s="45"/>
      <c r="AD83" s="45"/>
      <c r="AE83" s="32">
        <f t="shared" ref="AE83:AM83" si="30">AE66</f>
        <v>275423</v>
      </c>
      <c r="AF83" s="32">
        <f t="shared" si="30"/>
        <v>256638</v>
      </c>
      <c r="AG83" s="32">
        <f t="shared" si="30"/>
        <v>262733</v>
      </c>
      <c r="AH83" s="32">
        <f t="shared" si="30"/>
        <v>274495</v>
      </c>
      <c r="AI83" s="32">
        <f t="shared" si="30"/>
        <v>279591</v>
      </c>
      <c r="AJ83" s="32">
        <f t="shared" si="30"/>
        <v>319248</v>
      </c>
      <c r="AK83" s="32">
        <f t="shared" si="30"/>
        <v>345690</v>
      </c>
      <c r="AL83" s="32">
        <f t="shared" si="30"/>
        <v>331568</v>
      </c>
      <c r="AM83" s="32">
        <f t="shared" si="30"/>
        <v>304531</v>
      </c>
      <c r="AN83" s="32">
        <v>320368</v>
      </c>
      <c r="AO83" s="46"/>
      <c r="AP83" s="28"/>
      <c r="AQ83" s="28"/>
      <c r="AR83" s="28"/>
      <c r="AS83" s="28"/>
      <c r="AT83" s="28"/>
      <c r="AU83" s="28"/>
      <c r="AV83" s="28"/>
      <c r="AW83" s="32">
        <f>AW66</f>
        <v>1069289</v>
      </c>
      <c r="AX83" s="32">
        <f t="shared" ref="AX83:AX89" si="31">SUMIFS($C83:$AL83,$C$7:$AL$7,AX$7)</f>
        <v>1276097</v>
      </c>
      <c r="AZ83" s="32">
        <f t="shared" ref="AZ83:BA89" si="32">SUMIFS($C83:$AM83,$C$5:$AM$5,"&lt;="&amp;AZ$5,$C$5:$AM$5,"&gt;"&amp;EOMONTH(AZ$5,-12))</f>
        <v>1073457</v>
      </c>
      <c r="BA83" s="32">
        <f t="shared" si="32"/>
        <v>1301037</v>
      </c>
    </row>
    <row r="84" spans="1:53" ht="12.9" x14ac:dyDescent="0.5">
      <c r="A84" s="2" t="s">
        <v>52</v>
      </c>
      <c r="B84" s="2"/>
      <c r="W84" s="45"/>
      <c r="X84" s="45"/>
      <c r="Y84" s="45"/>
      <c r="Z84" s="45"/>
      <c r="AA84" s="45"/>
      <c r="AB84" s="45"/>
      <c r="AC84" s="45"/>
      <c r="AD84" s="45"/>
      <c r="AE84" s="32">
        <v>-66337</v>
      </c>
      <c r="AF84" s="32"/>
      <c r="AG84" s="32"/>
      <c r="AH84" s="32"/>
      <c r="AI84" s="32"/>
      <c r="AJ84" s="32"/>
      <c r="AK84" s="32"/>
      <c r="AL84" s="32"/>
      <c r="AM84" s="32"/>
      <c r="AN84" s="32"/>
      <c r="AO84" s="28"/>
      <c r="AP84" s="28"/>
      <c r="AQ84" s="28"/>
      <c r="AR84" s="28"/>
      <c r="AS84" s="28"/>
      <c r="AT84" s="28"/>
      <c r="AU84" s="28"/>
      <c r="AV84" s="28"/>
      <c r="AW84" s="32">
        <f>-AW135</f>
        <v>-66337</v>
      </c>
      <c r="AX84" s="32">
        <f t="shared" si="31"/>
        <v>0</v>
      </c>
      <c r="AY84" s="28"/>
      <c r="AZ84" s="32">
        <f t="shared" si="32"/>
        <v>0</v>
      </c>
      <c r="BA84" s="32">
        <f t="shared" si="32"/>
        <v>0</v>
      </c>
    </row>
    <row r="85" spans="1:53" ht="12.9" x14ac:dyDescent="0.5">
      <c r="A85" s="2" t="s">
        <v>53</v>
      </c>
      <c r="B85" s="2"/>
      <c r="W85" s="45"/>
      <c r="X85" s="45"/>
      <c r="Y85" s="45"/>
      <c r="Z85" s="45"/>
      <c r="AA85" s="45"/>
      <c r="AB85" s="45"/>
      <c r="AC85" s="45"/>
      <c r="AD85" s="45"/>
      <c r="AE85" s="32">
        <f t="shared" ref="AE85:AM85" si="33">AE67</f>
        <v>70056</v>
      </c>
      <c r="AF85" s="32">
        <f t="shared" si="33"/>
        <v>90839</v>
      </c>
      <c r="AG85" s="32">
        <f t="shared" si="33"/>
        <v>88721</v>
      </c>
      <c r="AH85" s="32">
        <f t="shared" si="33"/>
        <v>90907</v>
      </c>
      <c r="AI85" s="32">
        <f t="shared" si="33"/>
        <v>93173</v>
      </c>
      <c r="AJ85" s="32">
        <f t="shared" si="33"/>
        <v>94545</v>
      </c>
      <c r="AK85" s="32">
        <f t="shared" si="33"/>
        <v>115518</v>
      </c>
      <c r="AL85" s="32">
        <f t="shared" si="33"/>
        <v>105324</v>
      </c>
      <c r="AM85" s="32">
        <f t="shared" si="33"/>
        <v>97640</v>
      </c>
      <c r="AN85" s="32">
        <v>96903</v>
      </c>
      <c r="AO85" s="28"/>
      <c r="AP85" s="28"/>
      <c r="AQ85" s="28"/>
      <c r="AR85" s="28"/>
      <c r="AS85" s="28"/>
      <c r="AT85" s="28"/>
      <c r="AU85" s="28"/>
      <c r="AV85" s="28"/>
      <c r="AW85" s="32">
        <f>AW67</f>
        <v>340523</v>
      </c>
      <c r="AX85" s="32">
        <f t="shared" si="31"/>
        <v>408560</v>
      </c>
      <c r="AY85" s="28"/>
      <c r="AZ85" s="32">
        <f t="shared" si="32"/>
        <v>363640</v>
      </c>
      <c r="BA85" s="32">
        <f t="shared" si="32"/>
        <v>413027</v>
      </c>
    </row>
    <row r="86" spans="1:53" ht="12.9" x14ac:dyDescent="0.5">
      <c r="A86" s="2" t="s">
        <v>54</v>
      </c>
      <c r="B86" s="2"/>
      <c r="W86" s="45"/>
      <c r="X86" s="45"/>
      <c r="Y86" s="45"/>
      <c r="Z86" s="45"/>
      <c r="AA86" s="45"/>
      <c r="AB86" s="45"/>
      <c r="AC86" s="45"/>
      <c r="AD86" s="45"/>
      <c r="AE86" s="32">
        <f>-('[23]GAAP IS'!AE22+'[23]GAAP IS'!AE32)</f>
        <v>-42133</v>
      </c>
      <c r="AF86" s="32">
        <f>-('[23]GAAP IS'!AF22+'[23]GAAP IS'!AF32)</f>
        <v>-57288</v>
      </c>
      <c r="AG86" s="32">
        <f>-('[23]GAAP IS'!AG22+'[23]GAAP IS'!AG32)</f>
        <v>-55867</v>
      </c>
      <c r="AH86" s="32">
        <f>-('[23]GAAP IS'!AH22+'[23]GAAP IS'!AH32)</f>
        <v>-53664</v>
      </c>
      <c r="AI86" s="32">
        <f>-('[23]GAAP IS'!AI22+'[23]GAAP IS'!AI32)</f>
        <v>-55595</v>
      </c>
      <c r="AJ86" s="32">
        <f>-('[23]GAAP IS'!AJ22+'[23]GAAP IS'!AJ32)</f>
        <v>-55257</v>
      </c>
      <c r="AK86" s="32">
        <f>-('[23]GAAP IS'!AK22+'[23]GAAP IS'!AK32)</f>
        <v>-74845</v>
      </c>
      <c r="AL86" s="32">
        <f>-('[23]GAAP IS'!AL22+'[23]GAAP IS'!AL32)</f>
        <v>-61176</v>
      </c>
      <c r="AM86" s="32">
        <f>-('[23]GAAP IS'!AM22+'[23]GAAP IS'!AM32)</f>
        <v>-61309</v>
      </c>
      <c r="AN86" s="32">
        <v>-58402</v>
      </c>
      <c r="AO86" s="28"/>
      <c r="AP86" s="28"/>
      <c r="AQ86" s="28"/>
      <c r="AR86" s="28"/>
      <c r="AS86" s="28"/>
      <c r="AT86" s="28"/>
      <c r="AU86" s="28"/>
      <c r="AV86" s="28"/>
      <c r="AW86" s="32">
        <f>-('[23]GAAP IS'!AV22+'[23]GAAP IS'!AV32)</f>
        <v>-208952</v>
      </c>
      <c r="AX86" s="32">
        <f t="shared" si="31"/>
        <v>-246873</v>
      </c>
      <c r="AY86" s="28"/>
      <c r="AZ86" s="32">
        <f t="shared" si="32"/>
        <v>-222414</v>
      </c>
      <c r="BA86" s="32">
        <f t="shared" si="32"/>
        <v>-252587</v>
      </c>
    </row>
    <row r="87" spans="1:53" ht="12.9" x14ac:dyDescent="0.5">
      <c r="A87" s="2" t="s">
        <v>55</v>
      </c>
      <c r="B87" s="2"/>
      <c r="W87" s="45"/>
      <c r="X87" s="45"/>
      <c r="Y87" s="45"/>
      <c r="Z87" s="45"/>
      <c r="AA87" s="45"/>
      <c r="AB87" s="45"/>
      <c r="AC87" s="45"/>
      <c r="AD87" s="45"/>
      <c r="AE87" s="32">
        <f t="shared" ref="AE87:AM87" si="34">AE80</f>
        <v>72</v>
      </c>
      <c r="AF87" s="32">
        <f t="shared" si="34"/>
        <v>62</v>
      </c>
      <c r="AG87" s="32">
        <f t="shared" si="34"/>
        <v>53</v>
      </c>
      <c r="AH87" s="32">
        <f t="shared" si="34"/>
        <v>43</v>
      </c>
      <c r="AI87" s="32">
        <f t="shared" si="34"/>
        <v>33</v>
      </c>
      <c r="AJ87" s="32">
        <f t="shared" si="34"/>
        <v>24</v>
      </c>
      <c r="AK87" s="32">
        <f t="shared" si="34"/>
        <v>21</v>
      </c>
      <c r="AL87" s="32">
        <f t="shared" si="34"/>
        <v>21</v>
      </c>
      <c r="AM87" s="32">
        <f t="shared" si="34"/>
        <v>19</v>
      </c>
      <c r="AN87" s="32">
        <v>18</v>
      </c>
      <c r="AO87" s="28"/>
      <c r="AP87" s="28"/>
      <c r="AQ87" s="28"/>
      <c r="AR87" s="28"/>
      <c r="AS87" s="28"/>
      <c r="AT87" s="28"/>
      <c r="AU87" s="28"/>
      <c r="AV87" s="28"/>
      <c r="AW87" s="32">
        <f>AW80</f>
        <v>230</v>
      </c>
      <c r="AX87" s="32">
        <f t="shared" si="31"/>
        <v>99</v>
      </c>
      <c r="AY87" s="28"/>
      <c r="AZ87" s="32">
        <f t="shared" si="32"/>
        <v>191</v>
      </c>
      <c r="BA87" s="32">
        <f t="shared" si="32"/>
        <v>85</v>
      </c>
    </row>
    <row r="88" spans="1:53" ht="12.9" x14ac:dyDescent="0.5">
      <c r="A88" s="2" t="s">
        <v>56</v>
      </c>
      <c r="B88" s="2"/>
      <c r="W88" s="45"/>
      <c r="X88" s="45"/>
      <c r="Y88" s="45"/>
      <c r="Z88" s="45"/>
      <c r="AA88" s="45"/>
      <c r="AB88" s="45"/>
      <c r="AC88" s="45"/>
      <c r="AD88" s="45"/>
      <c r="AE88" s="32">
        <f t="shared" ref="AE88:AM88" si="35">AE77</f>
        <v>534</v>
      </c>
      <c r="AF88" s="32">
        <f t="shared" si="35"/>
        <v>548</v>
      </c>
      <c r="AG88" s="32">
        <f t="shared" si="35"/>
        <v>-447</v>
      </c>
      <c r="AH88" s="32">
        <f t="shared" si="35"/>
        <v>984</v>
      </c>
      <c r="AI88" s="32">
        <f t="shared" si="35"/>
        <v>191</v>
      </c>
      <c r="AJ88" s="32">
        <f t="shared" si="35"/>
        <v>343</v>
      </c>
      <c r="AK88" s="32">
        <f t="shared" si="35"/>
        <v>1355</v>
      </c>
      <c r="AL88" s="32">
        <f t="shared" si="35"/>
        <v>1297</v>
      </c>
      <c r="AM88" s="32">
        <f t="shared" si="35"/>
        <v>-71</v>
      </c>
      <c r="AN88" s="32">
        <v>1471</v>
      </c>
      <c r="AO88" s="28"/>
      <c r="AP88" s="28"/>
      <c r="AQ88" s="28"/>
      <c r="AR88" s="28"/>
      <c r="AS88" s="28"/>
      <c r="AT88" s="28"/>
      <c r="AU88" s="28"/>
      <c r="AV88" s="28"/>
      <c r="AW88" s="32">
        <f>AW77</f>
        <v>1619</v>
      </c>
      <c r="AX88" s="32">
        <f t="shared" si="31"/>
        <v>3186</v>
      </c>
      <c r="AY88" s="28"/>
      <c r="AZ88" s="32">
        <f t="shared" si="32"/>
        <v>1276</v>
      </c>
      <c r="BA88" s="32">
        <f t="shared" si="32"/>
        <v>2924</v>
      </c>
    </row>
    <row r="89" spans="1:53" ht="12.9" x14ac:dyDescent="0.5">
      <c r="A89" s="7" t="s">
        <v>57</v>
      </c>
      <c r="B89" s="7"/>
      <c r="C89" s="7"/>
      <c r="D89" s="7"/>
      <c r="E89" s="7"/>
      <c r="F89" s="7"/>
      <c r="G89" s="7"/>
      <c r="H89" s="7"/>
      <c r="I89" s="7"/>
      <c r="J89" s="7"/>
      <c r="K89" s="7"/>
      <c r="L89" s="7"/>
      <c r="M89" s="7"/>
      <c r="N89" s="7"/>
      <c r="O89" s="7"/>
      <c r="P89" s="7"/>
      <c r="Q89" s="7"/>
      <c r="R89" s="7"/>
      <c r="S89" s="7"/>
      <c r="T89" s="7"/>
      <c r="U89" s="7"/>
      <c r="V89" s="7"/>
      <c r="W89" s="47"/>
      <c r="X89" s="47"/>
      <c r="Y89" s="47"/>
      <c r="Z89" s="47"/>
      <c r="AA89" s="47"/>
      <c r="AB89" s="47"/>
      <c r="AC89" s="47"/>
      <c r="AD89" s="47"/>
      <c r="AE89" s="20">
        <f t="shared" ref="AE89:AM89" si="36">AE81-SUM(AE83:AE88)</f>
        <v>-42254</v>
      </c>
      <c r="AF89" s="20">
        <f t="shared" si="36"/>
        <v>-103457</v>
      </c>
      <c r="AG89" s="20">
        <f t="shared" si="36"/>
        <v>32167</v>
      </c>
      <c r="AH89" s="20">
        <f t="shared" si="36"/>
        <v>-31864</v>
      </c>
      <c r="AI89" s="20">
        <f t="shared" si="36"/>
        <v>50974</v>
      </c>
      <c r="AJ89" s="20">
        <f t="shared" si="36"/>
        <v>25499</v>
      </c>
      <c r="AK89" s="20">
        <f t="shared" si="36"/>
        <v>89749</v>
      </c>
      <c r="AL89" s="20">
        <f t="shared" si="36"/>
        <v>185129</v>
      </c>
      <c r="AM89" s="20">
        <f t="shared" si="36"/>
        <v>364264</v>
      </c>
      <c r="AN89" s="20">
        <v>399118</v>
      </c>
      <c r="AO89" s="48"/>
      <c r="AP89" s="48"/>
      <c r="AQ89" s="48"/>
      <c r="AR89" s="48"/>
      <c r="AS89" s="48"/>
      <c r="AT89" s="48"/>
      <c r="AU89" s="48"/>
      <c r="AV89" s="48"/>
      <c r="AW89" s="20">
        <f>AW81-SUM(AW83:AW88)</f>
        <v>-145408</v>
      </c>
      <c r="AX89" s="20">
        <f t="shared" si="31"/>
        <v>351351</v>
      </c>
      <c r="AY89" s="48"/>
      <c r="AZ89" s="20">
        <f t="shared" si="32"/>
        <v>-52180</v>
      </c>
      <c r="BA89" s="20">
        <f t="shared" si="32"/>
        <v>664641</v>
      </c>
    </row>
    <row r="90" spans="1:53" ht="12.9" outlineLevel="1" x14ac:dyDescent="0.5">
      <c r="A90" s="49"/>
      <c r="B90" s="49"/>
      <c r="C90" s="50"/>
      <c r="D90" s="50"/>
      <c r="E90" s="50"/>
      <c r="F90" s="50"/>
      <c r="G90" s="50"/>
      <c r="H90" s="50"/>
      <c r="I90" s="50"/>
      <c r="J90" s="50"/>
      <c r="K90" s="50"/>
      <c r="L90" s="50"/>
      <c r="M90" s="50"/>
      <c r="N90" s="50"/>
      <c r="O90" s="50"/>
      <c r="P90" s="50"/>
      <c r="Q90" s="50"/>
      <c r="R90" s="50"/>
      <c r="S90" s="50"/>
      <c r="T90" s="50"/>
      <c r="U90" s="50"/>
      <c r="V90" s="50"/>
      <c r="W90" s="51"/>
      <c r="X90" s="51"/>
      <c r="Y90" s="51"/>
      <c r="Z90" s="51"/>
      <c r="AA90" s="51"/>
      <c r="AB90" s="51"/>
      <c r="AC90" s="51"/>
      <c r="AD90" s="51"/>
      <c r="AE90" s="51"/>
      <c r="AF90" s="51"/>
      <c r="AG90" s="51"/>
      <c r="AH90" s="51"/>
      <c r="AI90" s="51"/>
      <c r="AJ90" s="51"/>
      <c r="AK90" s="51"/>
      <c r="AL90" s="51"/>
      <c r="AM90" s="51"/>
      <c r="AN90" s="51"/>
      <c r="AO90" s="18"/>
      <c r="AP90" s="18"/>
      <c r="AQ90" s="18"/>
      <c r="AR90" s="18"/>
      <c r="AS90" s="18"/>
      <c r="AT90" s="18"/>
      <c r="AU90" s="18"/>
      <c r="AV90" s="18"/>
      <c r="AW90" s="18"/>
      <c r="AX90" s="38">
        <f>AX81-AX83-AX85-AX86-AX87-AX88</f>
        <v>351351</v>
      </c>
      <c r="AY90" s="18"/>
      <c r="AZ90" s="18"/>
      <c r="BA90" s="18"/>
    </row>
    <row r="91" spans="1:53" ht="12.9" outlineLevel="1" x14ac:dyDescent="0.5">
      <c r="A91" s="7" t="s">
        <v>58</v>
      </c>
      <c r="B91" s="2"/>
      <c r="C91" s="2"/>
      <c r="D91" s="2"/>
      <c r="E91" s="2"/>
      <c r="F91" s="2"/>
      <c r="G91" s="2"/>
      <c r="H91" s="2"/>
      <c r="I91" s="2"/>
      <c r="J91" s="2"/>
      <c r="K91" s="2"/>
      <c r="L91" s="2"/>
      <c r="M91" s="2"/>
      <c r="N91" s="2"/>
      <c r="O91" s="2"/>
      <c r="P91" s="2"/>
      <c r="Q91" s="2"/>
      <c r="R91" s="2"/>
      <c r="S91" s="2"/>
      <c r="T91" s="2"/>
      <c r="U91" s="2"/>
      <c r="V91" s="2"/>
      <c r="W91" s="52"/>
      <c r="X91" s="52"/>
      <c r="Y91" s="52"/>
      <c r="Z91" s="52"/>
      <c r="AA91" s="52"/>
      <c r="AB91" s="52"/>
      <c r="AC91" s="52"/>
      <c r="AD91" s="52"/>
      <c r="AE91" s="52"/>
      <c r="AF91" s="52"/>
      <c r="AG91" s="52"/>
      <c r="AH91" s="52"/>
      <c r="AI91" s="52"/>
      <c r="AJ91" s="52"/>
      <c r="AK91" s="52"/>
      <c r="AL91" s="52"/>
      <c r="AM91" s="52"/>
      <c r="AN91" s="52"/>
      <c r="AO91" s="18"/>
      <c r="AP91" s="18"/>
      <c r="AQ91" s="18"/>
      <c r="AR91" s="18"/>
      <c r="AS91" s="18"/>
      <c r="AT91" s="18"/>
      <c r="AU91" s="18"/>
      <c r="AV91" s="18"/>
      <c r="AW91" s="18"/>
      <c r="AX91" s="18"/>
      <c r="AY91" s="18"/>
      <c r="AZ91" s="18"/>
      <c r="BA91" s="18"/>
    </row>
    <row r="92" spans="1:53" ht="12.9" outlineLevel="1" x14ac:dyDescent="0.5">
      <c r="A92" s="2" t="s">
        <v>39</v>
      </c>
      <c r="B92" s="2"/>
      <c r="C92" s="12"/>
      <c r="D92" s="12"/>
      <c r="E92" s="12"/>
      <c r="F92" s="12"/>
      <c r="G92" s="12"/>
      <c r="H92" s="12"/>
      <c r="I92" s="12"/>
      <c r="J92" s="12"/>
      <c r="K92" s="12"/>
      <c r="L92" s="12"/>
      <c r="M92" s="12"/>
      <c r="N92" s="12"/>
      <c r="O92" s="12"/>
      <c r="P92" s="12"/>
      <c r="Q92" s="12"/>
      <c r="R92" s="12"/>
      <c r="S92" s="12"/>
      <c r="T92" s="12"/>
      <c r="U92" s="12"/>
      <c r="V92" s="12"/>
      <c r="W92" s="12"/>
      <c r="X92" s="12"/>
      <c r="Y92" s="12"/>
      <c r="Z92" s="12"/>
      <c r="AA92" s="12"/>
      <c r="AB92" s="12">
        <f>'[23]GAAP IS'!AB43</f>
        <v>-343</v>
      </c>
      <c r="AC92" s="12">
        <f>'[23]GAAP IS'!AC43</f>
        <v>-2960</v>
      </c>
      <c r="AD92" s="12">
        <v>-4155</v>
      </c>
      <c r="AE92" s="12">
        <f>'[23]GAAP IS'!AE43</f>
        <v>-3164</v>
      </c>
      <c r="AF92" s="12">
        <f>'[23]GAAP IS'!AF43</f>
        <v>-1263</v>
      </c>
      <c r="AG92" s="12">
        <f>'[23]GAAP IS'!AG43</f>
        <v>-4033</v>
      </c>
      <c r="AH92" s="12">
        <f>'[23]GAAP IS'!AH43</f>
        <v>-3798</v>
      </c>
      <c r="AI92" s="12">
        <f>'[23]GAAP IS'!AI43</f>
        <v>-2488</v>
      </c>
      <c r="AJ92" s="12">
        <f>'[23]GAAP IS'!AJ43</f>
        <v>-3336</v>
      </c>
      <c r="AK92" s="12">
        <f>'[23]GAAP IS'!AK43</f>
        <v>-4806</v>
      </c>
      <c r="AL92" s="12">
        <f>'[23]GAAP IS'!AL43</f>
        <v>-20266</v>
      </c>
      <c r="AM92" s="12">
        <f>'[23]GAAP IS'!AM43</f>
        <v>-1185</v>
      </c>
      <c r="AN92" s="12">
        <v>-5396</v>
      </c>
      <c r="AO92" s="12"/>
      <c r="AP92" s="12"/>
      <c r="AQ92" s="12"/>
      <c r="AR92" s="12"/>
      <c r="AS92" s="12"/>
      <c r="AT92" s="12"/>
      <c r="AU92" s="12"/>
      <c r="AV92" s="12">
        <f>SUMIFS($C92:$AH92,$C$7:$AH$7,AV$7)</f>
        <v>-7458</v>
      </c>
      <c r="AW92" s="12">
        <f>SUMIFS($C92:$AH92,$C$7:$AH$7,AW$7)</f>
        <v>-12258</v>
      </c>
      <c r="AX92" s="12">
        <f>SUMIFS($C92:$AL92,$C$7:$AL$7,AX$7)</f>
        <v>-30896</v>
      </c>
      <c r="AY92" s="2"/>
      <c r="AZ92" s="18">
        <f t="shared" ref="AZ92:BA107" si="37">SUMIFS($C92:$AM92,$C$5:$AM$5,"&lt;="&amp;AZ$5,$C$5:$AM$5,"&gt;"&amp;EOMONTH(AZ$5,-12))</f>
        <v>-11582</v>
      </c>
      <c r="BA92" s="18">
        <f t="shared" si="37"/>
        <v>-29593</v>
      </c>
    </row>
    <row r="93" spans="1:53" ht="12.9" outlineLevel="1" x14ac:dyDescent="0.5">
      <c r="A93" s="2" t="s">
        <v>40</v>
      </c>
      <c r="B93" s="2"/>
      <c r="C93" s="18">
        <f>'[23]GAAP IS'!C44</f>
        <v>-47978</v>
      </c>
      <c r="D93" s="18">
        <f>'[23]GAAP IS'!D44</f>
        <v>-29620</v>
      </c>
      <c r="E93" s="18">
        <f>'[23]GAAP IS'!E44</f>
        <v>-53930</v>
      </c>
      <c r="F93" s="18">
        <f>'[23]GAAP IS'!F44</f>
        <v>-48289</v>
      </c>
      <c r="G93" s="18">
        <f>'[23]GAAP IS'!G44</f>
        <v>-96755</v>
      </c>
      <c r="H93" s="18">
        <f>'[23]GAAP IS'!H44</f>
        <v>-27345</v>
      </c>
      <c r="I93" s="18">
        <f>'[23]GAAP IS'!I44</f>
        <v>-32323</v>
      </c>
      <c r="J93" s="18">
        <f>'[23]GAAP IS'!J44</f>
        <v>-15167</v>
      </c>
      <c r="K93" s="18">
        <f>'[23]GAAP IS'!K44</f>
        <v>-15090</v>
      </c>
      <c r="L93" s="18">
        <f>'[23]GAAP IS'!L44</f>
        <v>-15962</v>
      </c>
      <c r="M93" s="18">
        <f>'[23]GAAP IS'!M44</f>
        <v>-16098</v>
      </c>
      <c r="N93" s="18">
        <f>'[23]GAAP IS'!N44</f>
        <v>-15663</v>
      </c>
      <c r="O93" s="18">
        <f>'[23]GAAP IS'!O44</f>
        <v>-23986</v>
      </c>
      <c r="P93" s="18">
        <f>'[23]GAAP IS'!P44</f>
        <v>-5906</v>
      </c>
      <c r="Q93" s="18">
        <f>'[23]GAAP IS'!Q44</f>
        <v>19643</v>
      </c>
      <c r="R93" s="18">
        <f>'[23]GAAP IS'!R44</f>
        <v>-28204</v>
      </c>
      <c r="S93" s="18">
        <f>'[23]GAAP IS'!S44</f>
        <v>-38151</v>
      </c>
      <c r="T93" s="18">
        <f>'[23]GAAP IS'!T44</f>
        <v>-6740</v>
      </c>
      <c r="U93" s="18">
        <f>'[23]GAAP IS'!U44</f>
        <v>29397</v>
      </c>
      <c r="V93" s="18">
        <f>'[23]GAAP IS'!V44</f>
        <v>390940</v>
      </c>
      <c r="W93" s="18">
        <f>'[23]GAAP IS'!W44</f>
        <v>-105891</v>
      </c>
      <c r="X93" s="18">
        <f>'[23]GAAP IS'!X44</f>
        <v>-11478</v>
      </c>
      <c r="Y93" s="18">
        <f>'[23]GAAP IS'!Y44</f>
        <v>36515</v>
      </c>
      <c r="Z93" s="18">
        <f>'[23]GAAP IS'!Z44</f>
        <v>293959</v>
      </c>
      <c r="AA93" s="18">
        <f>'[23]GAAP IS'!AA44</f>
        <v>39006</v>
      </c>
      <c r="AB93" s="18">
        <f>'[23]GAAP IS'!AB44</f>
        <v>204023</v>
      </c>
      <c r="AC93" s="18">
        <f>'[23]GAAP IS'!AC44</f>
        <v>84</v>
      </c>
      <c r="AD93" s="18">
        <v>-76829</v>
      </c>
      <c r="AE93" s="18">
        <f>'[23]GAAP IS'!AE44</f>
        <v>-204199</v>
      </c>
      <c r="AF93" s="18">
        <f>'[23]GAAP IS'!AF44</f>
        <v>-208014</v>
      </c>
      <c r="AG93" s="18">
        <f>'[23]GAAP IS'!AG44</f>
        <v>-14711</v>
      </c>
      <c r="AH93" s="18">
        <f>'[23]GAAP IS'!AH44</f>
        <v>-113823</v>
      </c>
      <c r="AI93" s="18">
        <f>'[23]GAAP IS'!AI44</f>
        <v>-16838</v>
      </c>
      <c r="AJ93" s="18">
        <f>'[23]GAAP IS'!AJ44</f>
        <v>-122506</v>
      </c>
      <c r="AK93" s="18">
        <f>'[23]GAAP IS'!AK44</f>
        <v>-28954</v>
      </c>
      <c r="AL93" s="18">
        <f>'[23]GAAP IS'!AL44</f>
        <v>178070</v>
      </c>
      <c r="AM93" s="18">
        <f>'[23]GAAP IS'!AM44</f>
        <v>472005</v>
      </c>
      <c r="AN93" s="18">
        <v>195268</v>
      </c>
      <c r="AO93" s="12"/>
      <c r="AP93" s="12">
        <f t="shared" ref="AP93:AW93" si="38">SUMIFS($C93:$AH93,$C$7:$AH$7,AP$7)</f>
        <v>-179817</v>
      </c>
      <c r="AQ93" s="12">
        <f t="shared" si="38"/>
        <v>-171590</v>
      </c>
      <c r="AR93" s="12">
        <f t="shared" si="38"/>
        <v>-62813</v>
      </c>
      <c r="AS93" s="12">
        <f t="shared" si="38"/>
        <v>-38453</v>
      </c>
      <c r="AT93" s="12">
        <f t="shared" si="38"/>
        <v>375446</v>
      </c>
      <c r="AU93" s="12">
        <f t="shared" si="38"/>
        <v>213105</v>
      </c>
      <c r="AV93" s="12">
        <f t="shared" si="38"/>
        <v>166284</v>
      </c>
      <c r="AW93" s="12">
        <f t="shared" si="38"/>
        <v>-540747</v>
      </c>
      <c r="AX93" s="12">
        <f>SUMIFS($C93:$AL93,$C$7:$AL$7,AX$7)</f>
        <v>9772</v>
      </c>
      <c r="AY93" s="2"/>
      <c r="AZ93" s="18">
        <f t="shared" si="37"/>
        <v>-353386</v>
      </c>
      <c r="BA93" s="18">
        <f t="shared" si="37"/>
        <v>498615</v>
      </c>
    </row>
    <row r="94" spans="1:53" ht="12.9" outlineLevel="1" x14ac:dyDescent="0.5">
      <c r="A94" s="2" t="s">
        <v>41</v>
      </c>
      <c r="B94" s="2"/>
      <c r="C94" s="12">
        <f>'[23]GAAP IS'!C42</f>
        <v>-47978</v>
      </c>
      <c r="D94" s="12">
        <f>'[23]GAAP IS'!D42</f>
        <v>-29620</v>
      </c>
      <c r="E94" s="12">
        <f>'[23]GAAP IS'!E42</f>
        <v>-53930</v>
      </c>
      <c r="F94" s="12">
        <f>'[23]GAAP IS'!F42</f>
        <v>-48289</v>
      </c>
      <c r="G94" s="12">
        <f>'[23]GAAP IS'!G42</f>
        <v>-96755</v>
      </c>
      <c r="H94" s="12">
        <f>'[23]GAAP IS'!H42</f>
        <v>-27345</v>
      </c>
      <c r="I94" s="12">
        <f>'[23]GAAP IS'!I42</f>
        <v>-32323</v>
      </c>
      <c r="J94" s="12">
        <f>'[23]GAAP IS'!J42</f>
        <v>-15167</v>
      </c>
      <c r="K94" s="12">
        <f>'[23]GAAP IS'!K42</f>
        <v>-15090</v>
      </c>
      <c r="L94" s="12">
        <f>'[23]GAAP IS'!L42</f>
        <v>-15962</v>
      </c>
      <c r="M94" s="12">
        <f>'[23]GAAP IS'!M42</f>
        <v>-16098</v>
      </c>
      <c r="N94" s="12">
        <f>'[23]GAAP IS'!N42</f>
        <v>-15663</v>
      </c>
      <c r="O94" s="12">
        <f>'[23]GAAP IS'!O42</f>
        <v>-23986</v>
      </c>
      <c r="P94" s="12">
        <f>'[23]GAAP IS'!P42</f>
        <v>-5906</v>
      </c>
      <c r="Q94" s="12">
        <f>'[23]GAAP IS'!Q42</f>
        <v>19643</v>
      </c>
      <c r="R94" s="12">
        <f>'[23]GAAP IS'!R42</f>
        <v>-28204</v>
      </c>
      <c r="S94" s="12">
        <f>'[23]GAAP IS'!S42</f>
        <v>-38151</v>
      </c>
      <c r="T94" s="12">
        <f>'[23]GAAP IS'!T42</f>
        <v>-6740</v>
      </c>
      <c r="U94" s="12">
        <f>'[23]GAAP IS'!U42</f>
        <v>29397</v>
      </c>
      <c r="V94" s="12">
        <f>'[23]GAAP IS'!V42</f>
        <v>390940</v>
      </c>
      <c r="W94" s="12">
        <f>'[23]GAAP IS'!W42</f>
        <v>-105891</v>
      </c>
      <c r="X94" s="12">
        <f>'[23]GAAP IS'!X42</f>
        <v>-11478</v>
      </c>
      <c r="Y94" s="12">
        <f>'[23]GAAP IS'!Y42</f>
        <v>36515</v>
      </c>
      <c r="Z94" s="12">
        <f>'[23]GAAP IS'!Z42</f>
        <v>293959</v>
      </c>
      <c r="AA94" s="12">
        <f>'[23]GAAP IS'!AA42</f>
        <v>39006</v>
      </c>
      <c r="AB94" s="12">
        <f>'[23]GAAP IS'!AB42</f>
        <v>203680</v>
      </c>
      <c r="AC94" s="12">
        <f>'[23]GAAP IS'!AC42</f>
        <v>-2876</v>
      </c>
      <c r="AD94" s="12">
        <v>-80984</v>
      </c>
      <c r="AE94" s="12">
        <v>-207363</v>
      </c>
      <c r="AF94" s="12">
        <f>'[23]GAAP IS'!AF42</f>
        <v>-209277</v>
      </c>
      <c r="AG94" s="12">
        <f>'[23]GAAP IS'!AG42</f>
        <v>-18744</v>
      </c>
      <c r="AH94" s="12">
        <f>'[23]GAAP IS'!AH42</f>
        <v>-117621</v>
      </c>
      <c r="AI94" s="12">
        <f>'[23]GAAP IS'!AI42</f>
        <v>-19326</v>
      </c>
      <c r="AJ94" s="12">
        <f>'[23]GAAP IS'!AJ42</f>
        <v>-125842</v>
      </c>
      <c r="AK94" s="12">
        <f>'[23]GAAP IS'!AK42</f>
        <v>-33760</v>
      </c>
      <c r="AL94" s="12">
        <f>'[23]GAAP IS'!AL42</f>
        <v>157804</v>
      </c>
      <c r="AM94" s="12">
        <f>'[23]GAAP IS'!AM42</f>
        <v>470820</v>
      </c>
      <c r="AN94" s="12">
        <v>189872</v>
      </c>
      <c r="AO94" s="12"/>
      <c r="AP94" s="12">
        <f t="shared" ref="AP94:AT98" si="39">SUMIFS($C94:$V94,$C$7:$V$7,AP$7)</f>
        <v>-179817</v>
      </c>
      <c r="AQ94" s="12">
        <f t="shared" si="39"/>
        <v>-171590</v>
      </c>
      <c r="AR94" s="12">
        <f t="shared" si="39"/>
        <v>-62813</v>
      </c>
      <c r="AS94" s="12">
        <f t="shared" si="39"/>
        <v>-38453</v>
      </c>
      <c r="AT94" s="12">
        <f t="shared" si="39"/>
        <v>375446</v>
      </c>
      <c r="AU94" s="12">
        <f>SUMIFS($C94:$Z94,$C$7:$Z$7,AU$7)</f>
        <v>213105</v>
      </c>
      <c r="AV94" s="12">
        <f>SUMIFS($C94:$AD94,$C$7:$AD$7,AV$7)</f>
        <v>158826</v>
      </c>
      <c r="AW94" s="12">
        <f>SUMIFS($C94:$AH94,$C$7:$AH$7,AW$7)</f>
        <v>-553005</v>
      </c>
      <c r="AX94" s="12">
        <f>SUMIFS($C94:$AL94,$C$7:$AL$7,AX$7)</f>
        <v>-21124</v>
      </c>
      <c r="AY94" s="2"/>
      <c r="AZ94" s="12">
        <f t="shared" si="37"/>
        <v>-364968</v>
      </c>
      <c r="BA94" s="12">
        <f t="shared" si="37"/>
        <v>469022</v>
      </c>
    </row>
    <row r="95" spans="1:53" ht="12.9" outlineLevel="1" x14ac:dyDescent="0.5">
      <c r="A95" s="2" t="s">
        <v>12</v>
      </c>
      <c r="B95" s="2"/>
      <c r="C95" s="29"/>
      <c r="D95" s="29"/>
      <c r="E95" s="29"/>
      <c r="F95" s="29"/>
      <c r="G95" s="29">
        <v>-38838</v>
      </c>
      <c r="H95" s="29">
        <v>-32867</v>
      </c>
      <c r="I95" s="29">
        <v>-7164</v>
      </c>
      <c r="J95" s="29">
        <v>-34</v>
      </c>
      <c r="K95" s="29"/>
      <c r="L95" s="29"/>
      <c r="M95" s="29"/>
      <c r="N95" s="29"/>
      <c r="O95" s="29"/>
      <c r="P95" s="29"/>
      <c r="Q95" s="29"/>
      <c r="R95" s="29"/>
      <c r="S95" s="29"/>
      <c r="T95" s="29"/>
      <c r="U95" s="29"/>
      <c r="V95" s="29"/>
      <c r="W95" s="29"/>
      <c r="X95" s="29"/>
      <c r="Y95" s="29"/>
      <c r="Z95" s="29"/>
      <c r="AA95" s="29"/>
      <c r="AB95" s="29"/>
      <c r="AC95" s="29"/>
      <c r="AD95" s="29"/>
      <c r="AE95" s="29"/>
      <c r="AF95" s="29"/>
      <c r="AG95" s="29"/>
      <c r="AH95" s="29"/>
      <c r="AI95" s="29"/>
      <c r="AJ95" s="29"/>
      <c r="AK95" s="29"/>
      <c r="AL95" s="29"/>
      <c r="AM95" s="29"/>
      <c r="AN95" s="29"/>
      <c r="AO95" s="18"/>
      <c r="AP95" s="18">
        <v>-142283</v>
      </c>
      <c r="AQ95" s="18">
        <f t="shared" si="39"/>
        <v>-78903</v>
      </c>
      <c r="AR95" s="18"/>
      <c r="AS95" s="18"/>
      <c r="AT95" s="18"/>
      <c r="AU95" s="18"/>
      <c r="AV95" s="18"/>
      <c r="AW95" s="18"/>
      <c r="AX95" s="18"/>
      <c r="AY95" s="2"/>
      <c r="AZ95" s="18">
        <f t="shared" si="37"/>
        <v>0</v>
      </c>
      <c r="BA95" s="18">
        <f t="shared" si="37"/>
        <v>0</v>
      </c>
    </row>
    <row r="96" spans="1:53" ht="12.9" outlineLevel="1" x14ac:dyDescent="0.5">
      <c r="A96" s="2" t="s">
        <v>42</v>
      </c>
      <c r="B96" s="2"/>
      <c r="C96" s="29"/>
      <c r="D96" s="29"/>
      <c r="E96" s="29"/>
      <c r="F96" s="29"/>
      <c r="G96" s="29">
        <v>36610</v>
      </c>
      <c r="H96" s="29">
        <v>28672</v>
      </c>
      <c r="I96" s="29">
        <v>4528</v>
      </c>
      <c r="J96" s="29">
        <v>-49</v>
      </c>
      <c r="K96" s="29"/>
      <c r="L96" s="29"/>
      <c r="M96" s="29"/>
      <c r="N96" s="29"/>
      <c r="O96" s="29"/>
      <c r="P96" s="29"/>
      <c r="Q96" s="29"/>
      <c r="R96" s="29"/>
      <c r="S96" s="29"/>
      <c r="T96" s="29"/>
      <c r="U96" s="29"/>
      <c r="V96" s="29"/>
      <c r="W96" s="29"/>
      <c r="X96" s="29"/>
      <c r="Y96" s="29"/>
      <c r="Z96" s="29"/>
      <c r="AA96" s="29"/>
      <c r="AB96" s="29"/>
      <c r="AC96" s="29"/>
      <c r="AD96" s="29"/>
      <c r="AE96" s="29"/>
      <c r="AF96" s="29"/>
      <c r="AG96" s="29"/>
      <c r="AH96" s="29"/>
      <c r="AI96" s="29"/>
      <c r="AJ96" s="29"/>
      <c r="AK96" s="29"/>
      <c r="AL96" s="29"/>
      <c r="AM96" s="29"/>
      <c r="AN96" s="29"/>
      <c r="AO96" s="18"/>
      <c r="AP96" s="18">
        <v>165438</v>
      </c>
      <c r="AQ96" s="18">
        <f t="shared" si="39"/>
        <v>69761</v>
      </c>
      <c r="AR96" s="18"/>
      <c r="AS96" s="18"/>
      <c r="AT96" s="18"/>
      <c r="AU96" s="18"/>
      <c r="AV96" s="18"/>
      <c r="AW96" s="18"/>
      <c r="AX96" s="18"/>
      <c r="AY96" s="2"/>
      <c r="AZ96" s="18">
        <f t="shared" si="37"/>
        <v>0</v>
      </c>
      <c r="BA96" s="18">
        <f t="shared" si="37"/>
        <v>0</v>
      </c>
    </row>
    <row r="97" spans="1:53" ht="12.9" outlineLevel="1" x14ac:dyDescent="0.5">
      <c r="A97" s="2" t="s">
        <v>43</v>
      </c>
      <c r="B97" s="2"/>
      <c r="C97" s="29"/>
      <c r="D97" s="29"/>
      <c r="E97" s="29"/>
      <c r="F97" s="29"/>
      <c r="G97" s="29">
        <v>31198</v>
      </c>
      <c r="H97" s="29">
        <v>36922</v>
      </c>
      <c r="I97" s="29">
        <v>36779</v>
      </c>
      <c r="J97" s="29">
        <v>33887</v>
      </c>
      <c r="K97" s="29">
        <v>31670</v>
      </c>
      <c r="L97" s="29">
        <v>39593</v>
      </c>
      <c r="M97" s="29">
        <v>40048</v>
      </c>
      <c r="N97" s="29">
        <v>44525</v>
      </c>
      <c r="O97" s="29">
        <v>46824</v>
      </c>
      <c r="P97" s="29">
        <v>52119</v>
      </c>
      <c r="Q97" s="29">
        <v>58913</v>
      </c>
      <c r="R97" s="29">
        <v>59025</v>
      </c>
      <c r="S97" s="29">
        <v>61088</v>
      </c>
      <c r="T97" s="29">
        <v>79466</v>
      </c>
      <c r="U97" s="29">
        <v>77426</v>
      </c>
      <c r="V97" s="29">
        <v>79883</v>
      </c>
      <c r="W97" s="29">
        <v>77303</v>
      </c>
      <c r="X97" s="29">
        <v>96180</v>
      </c>
      <c r="Y97" s="29">
        <v>110389</v>
      </c>
      <c r="Z97" s="29">
        <v>113628</v>
      </c>
      <c r="AA97" s="29">
        <v>118623</v>
      </c>
      <c r="AB97" s="29">
        <v>146365</v>
      </c>
      <c r="AC97" s="29">
        <v>165011</v>
      </c>
      <c r="AD97" s="29">
        <v>178043</v>
      </c>
      <c r="AE97" s="29">
        <v>275423</v>
      </c>
      <c r="AF97" s="29">
        <v>256638</v>
      </c>
      <c r="AG97" s="29">
        <v>262733</v>
      </c>
      <c r="AH97" s="29">
        <v>274495</v>
      </c>
      <c r="AI97" s="29">
        <v>279591</v>
      </c>
      <c r="AJ97" s="29">
        <v>319248</v>
      </c>
      <c r="AK97" s="29">
        <v>345690</v>
      </c>
      <c r="AL97" s="29">
        <v>331568</v>
      </c>
      <c r="AM97" s="29">
        <f>AM66</f>
        <v>304531</v>
      </c>
      <c r="AN97" s="29">
        <v>320368</v>
      </c>
      <c r="AO97" s="18"/>
      <c r="AP97" s="18">
        <v>82292</v>
      </c>
      <c r="AQ97" s="18">
        <f t="shared" si="39"/>
        <v>138786</v>
      </c>
      <c r="AR97" s="18">
        <f t="shared" si="39"/>
        <v>155836</v>
      </c>
      <c r="AS97" s="18">
        <f t="shared" si="39"/>
        <v>216881</v>
      </c>
      <c r="AT97" s="18">
        <f t="shared" si="39"/>
        <v>297863</v>
      </c>
      <c r="AU97" s="18">
        <f>SUMIFS($C97:$Z97,$C$7:$Z$7,AU$7)</f>
        <v>397500</v>
      </c>
      <c r="AV97" s="18">
        <f>SUMIFS($C97:$AD97,$C$7:$AD$7,AV$7)</f>
        <v>608042</v>
      </c>
      <c r="AW97" s="18">
        <f>SUMIFS($C97:$AH97,$C$7:$AH$7,AW$7)</f>
        <v>1069289</v>
      </c>
      <c r="AX97" s="18">
        <f t="shared" ref="AX97:AX108" si="40">SUMIFS($C97:$AL97,$C$7:$AL$7,AX$7)</f>
        <v>1276097</v>
      </c>
      <c r="AY97" s="2"/>
      <c r="AZ97" s="18">
        <f t="shared" si="37"/>
        <v>1073457</v>
      </c>
      <c r="BA97" s="18">
        <f t="shared" si="37"/>
        <v>1301037</v>
      </c>
    </row>
    <row r="98" spans="1:53" ht="12.9" outlineLevel="1" x14ac:dyDescent="0.5">
      <c r="A98" s="2" t="s">
        <v>21</v>
      </c>
      <c r="B98" s="2"/>
      <c r="C98" s="29"/>
      <c r="D98" s="29"/>
      <c r="E98" s="29"/>
      <c r="F98" s="29"/>
      <c r="G98" s="29"/>
      <c r="H98" s="29"/>
      <c r="I98" s="29"/>
      <c r="J98" s="29"/>
      <c r="K98" s="29"/>
      <c r="L98" s="29"/>
      <c r="M98" s="29"/>
      <c r="N98" s="29"/>
      <c r="O98" s="29"/>
      <c r="P98" s="29">
        <v>4363</v>
      </c>
      <c r="Q98" s="29">
        <v>345</v>
      </c>
      <c r="R98" s="29"/>
      <c r="S98" s="29">
        <v>782</v>
      </c>
      <c r="T98" s="29">
        <v>6133</v>
      </c>
      <c r="U98" s="29">
        <v>1564</v>
      </c>
      <c r="V98" s="29">
        <v>1260</v>
      </c>
      <c r="W98" s="29">
        <v>1524</v>
      </c>
      <c r="X98" s="29">
        <v>2056</v>
      </c>
      <c r="Y98" s="29">
        <v>359</v>
      </c>
      <c r="Z98" s="29">
        <v>3543</v>
      </c>
      <c r="AA98" s="29">
        <v>26</v>
      </c>
      <c r="AB98" s="29">
        <v>14292</v>
      </c>
      <c r="AC98" s="29">
        <v>308</v>
      </c>
      <c r="AD98" s="29">
        <v>20848</v>
      </c>
      <c r="AE98" s="29">
        <v>76065</v>
      </c>
      <c r="AF98" s="29">
        <v>17067</v>
      </c>
      <c r="AG98" s="29">
        <v>23470</v>
      </c>
      <c r="AH98" s="29">
        <v>40662</v>
      </c>
      <c r="AI98" s="29">
        <v>1551</v>
      </c>
      <c r="AJ98" s="29">
        <v>102349</v>
      </c>
      <c r="AK98" s="29">
        <v>24812</v>
      </c>
      <c r="AL98" s="29">
        <v>5118</v>
      </c>
      <c r="AM98" s="29">
        <f>AM69</f>
        <v>32512</v>
      </c>
      <c r="AN98" s="29">
        <v>15350</v>
      </c>
      <c r="AO98" s="18"/>
      <c r="AP98" s="18"/>
      <c r="AQ98" s="18"/>
      <c r="AR98" s="18"/>
      <c r="AS98" s="18">
        <f t="shared" si="39"/>
        <v>4708</v>
      </c>
      <c r="AT98" s="18">
        <f t="shared" si="39"/>
        <v>9739</v>
      </c>
      <c r="AU98" s="18">
        <f>SUMIFS($C98:$Z98,$C$7:$Z$7,AU$7)</f>
        <v>7482</v>
      </c>
      <c r="AV98" s="18">
        <f>SUMIFS($C98:$AD98,$C$7:$AD$7,AV$7)</f>
        <v>35474</v>
      </c>
      <c r="AW98" s="18">
        <f>SUMIFS($C98:$AH98,$C$7:$AH$7,AW$7)</f>
        <v>157264</v>
      </c>
      <c r="AX98" s="18">
        <f t="shared" si="40"/>
        <v>133830</v>
      </c>
      <c r="AY98" s="2"/>
      <c r="AZ98" s="18">
        <f t="shared" si="37"/>
        <v>82750</v>
      </c>
      <c r="BA98" s="18">
        <f t="shared" si="37"/>
        <v>164791</v>
      </c>
    </row>
    <row r="99" spans="1:53" ht="12.9" outlineLevel="1" x14ac:dyDescent="0.5">
      <c r="A99" s="2" t="s">
        <v>59</v>
      </c>
      <c r="B99" s="2"/>
      <c r="C99" s="29"/>
      <c r="D99" s="29"/>
      <c r="E99" s="29"/>
      <c r="F99" s="29"/>
      <c r="G99" s="29">
        <v>2713</v>
      </c>
      <c r="H99" s="29">
        <v>2134</v>
      </c>
      <c r="I99" s="29">
        <v>2076</v>
      </c>
      <c r="J99" s="29">
        <v>2090</v>
      </c>
      <c r="K99" s="29">
        <v>2121</v>
      </c>
      <c r="L99" s="29">
        <v>1943</v>
      </c>
      <c r="M99" s="29">
        <v>1804</v>
      </c>
      <c r="N99" s="29">
        <v>1747</v>
      </c>
      <c r="O99" s="29">
        <v>1875</v>
      </c>
      <c r="P99" s="29">
        <v>2816</v>
      </c>
      <c r="Q99" s="29">
        <v>4384</v>
      </c>
      <c r="R99" s="29">
        <v>4029</v>
      </c>
      <c r="S99" s="29">
        <v>3487</v>
      </c>
      <c r="T99" s="29">
        <v>3958</v>
      </c>
      <c r="U99" s="29">
        <v>3841</v>
      </c>
      <c r="V99" s="29">
        <v>3714</v>
      </c>
      <c r="W99" s="29">
        <v>4152</v>
      </c>
      <c r="X99" s="29">
        <v>4134</v>
      </c>
      <c r="Y99" s="29">
        <v>5236</v>
      </c>
      <c r="Z99" s="29">
        <v>5717</v>
      </c>
      <c r="AA99" s="29">
        <v>6884</v>
      </c>
      <c r="AB99" s="29">
        <v>9234</v>
      </c>
      <c r="AC99" s="29">
        <v>11140</v>
      </c>
      <c r="AD99" s="29">
        <v>13264</v>
      </c>
      <c r="AE99" s="29">
        <v>42160</v>
      </c>
      <c r="AF99" s="29">
        <v>57288</v>
      </c>
      <c r="AG99" s="29">
        <v>55867</v>
      </c>
      <c r="AH99" s="29">
        <v>53637</v>
      </c>
      <c r="AI99" s="29">
        <v>55595</v>
      </c>
      <c r="AJ99" s="29">
        <v>55257</v>
      </c>
      <c r="AK99" s="29">
        <v>74845</v>
      </c>
      <c r="AL99" s="29">
        <v>61176</v>
      </c>
      <c r="AM99" s="29">
        <f>'[23]GAAP IS'!AM22+'[23]GAAP IS'!AM32</f>
        <v>61309</v>
      </c>
      <c r="AN99" s="29">
        <v>58402</v>
      </c>
      <c r="AO99" s="18"/>
      <c r="AP99" s="18">
        <v>7503</v>
      </c>
      <c r="AQ99" s="18">
        <f>SUMIFS($C99:$V99,$C$7:$V$7,AQ$7)</f>
        <v>9013</v>
      </c>
      <c r="AR99" s="18">
        <f>SUMIFS($C99:$V99,$C$7:$V$7,AR$7)</f>
        <v>7615</v>
      </c>
      <c r="AS99" s="18">
        <f>SUMIFS($C99:$V99,$C$7:$V$7,AS$7)</f>
        <v>13104</v>
      </c>
      <c r="AT99" s="18">
        <f>SUMIFS($C99:$V99,$C$7:$V$7,AT$7)</f>
        <v>15000</v>
      </c>
      <c r="AU99" s="18">
        <f>SUMIFS($C99:$Z99,$C$7:$Z$7,AU$7)</f>
        <v>19239</v>
      </c>
      <c r="AV99" s="18">
        <f>SUMIFS($C99:$AD99,$C$7:$AD$7,AV$7)</f>
        <v>40522</v>
      </c>
      <c r="AW99" s="18">
        <f>SUMIFS($C99:$AH99,$C$7:$AH$7,AW$7)</f>
        <v>208952</v>
      </c>
      <c r="AX99" s="18">
        <f t="shared" si="40"/>
        <v>246873</v>
      </c>
      <c r="AY99" s="2"/>
      <c r="AZ99" s="18">
        <f t="shared" si="37"/>
        <v>222387</v>
      </c>
      <c r="BA99" s="18">
        <f t="shared" si="37"/>
        <v>252587</v>
      </c>
    </row>
    <row r="100" spans="1:53" ht="12.9" hidden="1" outlineLevel="1" x14ac:dyDescent="0.5">
      <c r="A100" s="2" t="s">
        <v>26</v>
      </c>
      <c r="B100" s="2"/>
      <c r="C100" s="29"/>
      <c r="D100" s="29"/>
      <c r="E100" s="29"/>
      <c r="F100" s="29"/>
      <c r="G100" s="29">
        <v>50000</v>
      </c>
      <c r="H100" s="29">
        <v>-2000</v>
      </c>
      <c r="I100" s="2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29"/>
      <c r="AL100" s="29"/>
      <c r="AM100" s="29"/>
      <c r="AN100" s="29"/>
      <c r="AO100" s="18"/>
      <c r="AP100" s="18"/>
      <c r="AQ100" s="18">
        <f>SUMIFS($C100:$V100,$C$7:$V$7,AQ$7)</f>
        <v>48000</v>
      </c>
      <c r="AR100" s="18"/>
      <c r="AS100" s="18"/>
      <c r="AT100" s="18"/>
      <c r="AU100" s="18"/>
      <c r="AV100" s="18"/>
      <c r="AW100" s="18"/>
      <c r="AX100" s="18">
        <f t="shared" si="40"/>
        <v>0</v>
      </c>
      <c r="AY100" s="2"/>
      <c r="AZ100" s="18">
        <f t="shared" si="37"/>
        <v>0</v>
      </c>
      <c r="BA100" s="18">
        <f t="shared" si="37"/>
        <v>0</v>
      </c>
    </row>
    <row r="101" spans="1:53" ht="12.9" outlineLevel="1" x14ac:dyDescent="0.5">
      <c r="A101" s="2" t="s">
        <v>60</v>
      </c>
      <c r="B101" s="2"/>
      <c r="C101" s="29"/>
      <c r="D101" s="29"/>
      <c r="E101" s="29"/>
      <c r="F101" s="29"/>
      <c r="G101" s="29"/>
      <c r="H101" s="29"/>
      <c r="I101" s="29"/>
      <c r="J101" s="29"/>
      <c r="K101" s="29">
        <v>1390</v>
      </c>
      <c r="L101" s="29">
        <v>4221</v>
      </c>
      <c r="M101" s="29">
        <v>4277</v>
      </c>
      <c r="N101" s="29">
        <v>4335</v>
      </c>
      <c r="O101" s="29">
        <v>4393</v>
      </c>
      <c r="P101" s="29">
        <v>6830</v>
      </c>
      <c r="Q101" s="29">
        <v>11627</v>
      </c>
      <c r="R101" s="29">
        <v>10005</v>
      </c>
      <c r="S101" s="29">
        <v>9608</v>
      </c>
      <c r="T101" s="29">
        <v>9725</v>
      </c>
      <c r="U101" s="29">
        <v>9843</v>
      </c>
      <c r="V101" s="29">
        <v>9963</v>
      </c>
      <c r="W101" s="29">
        <v>12528</v>
      </c>
      <c r="X101" s="29">
        <v>17580</v>
      </c>
      <c r="Y101" s="29">
        <v>17516</v>
      </c>
      <c r="Z101" s="29">
        <v>20355</v>
      </c>
      <c r="AA101" s="29">
        <v>1832</v>
      </c>
      <c r="AB101" s="29">
        <v>2305</v>
      </c>
      <c r="AC101" s="29">
        <v>2868</v>
      </c>
      <c r="AD101" s="29">
        <v>2817</v>
      </c>
      <c r="AE101" s="29">
        <v>3630</v>
      </c>
      <c r="AF101" s="29">
        <v>3826</v>
      </c>
      <c r="AG101" s="29">
        <v>3851</v>
      </c>
      <c r="AH101" s="29">
        <v>3855</v>
      </c>
      <c r="AI101" s="29">
        <v>2949</v>
      </c>
      <c r="AJ101" s="29">
        <v>2885</v>
      </c>
      <c r="AK101" s="29">
        <v>2973</v>
      </c>
      <c r="AL101" s="29">
        <v>3097</v>
      </c>
      <c r="AM101" s="29">
        <v>3071</v>
      </c>
      <c r="AN101" s="29">
        <v>3432</v>
      </c>
      <c r="AO101" s="18"/>
      <c r="AP101" s="18"/>
      <c r="AQ101" s="18"/>
      <c r="AR101" s="18">
        <f t="shared" ref="AR101:AT102" si="41">SUMIFS($C101:$V101,$C$7:$V$7,AR$7)</f>
        <v>14223</v>
      </c>
      <c r="AS101" s="18">
        <f t="shared" si="41"/>
        <v>32855</v>
      </c>
      <c r="AT101" s="18">
        <f t="shared" si="41"/>
        <v>39139</v>
      </c>
      <c r="AU101" s="18">
        <f>SUMIFS($C101:$Z101,$C$7:$Z$7,AU$7)</f>
        <v>67979</v>
      </c>
      <c r="AV101" s="18">
        <f>SUMIFS($C101:$AD101,$C$7:$AD$7,AV$7)</f>
        <v>9822</v>
      </c>
      <c r="AW101" s="18">
        <f>SUMIFS($C101:$AH101,$C$7:$AH$7,AW$7)</f>
        <v>15162</v>
      </c>
      <c r="AX101" s="18">
        <f t="shared" si="40"/>
        <v>11904</v>
      </c>
      <c r="AY101" s="2"/>
      <c r="AZ101" s="18">
        <f t="shared" si="37"/>
        <v>14481</v>
      </c>
      <c r="BA101" s="18">
        <f t="shared" si="37"/>
        <v>12026</v>
      </c>
    </row>
    <row r="102" spans="1:53" ht="12.9" outlineLevel="1" x14ac:dyDescent="0.5">
      <c r="A102" s="2" t="s">
        <v>61</v>
      </c>
      <c r="B102" s="2"/>
      <c r="C102" s="29"/>
      <c r="D102" s="29"/>
      <c r="E102" s="29"/>
      <c r="F102" s="29"/>
      <c r="G102" s="29"/>
      <c r="H102" s="29"/>
      <c r="I102" s="29"/>
      <c r="J102" s="29"/>
      <c r="K102" s="29"/>
      <c r="L102" s="29"/>
      <c r="M102" s="29"/>
      <c r="N102" s="29"/>
      <c r="O102" s="29"/>
      <c r="P102" s="29"/>
      <c r="Q102" s="29">
        <v>-36908</v>
      </c>
      <c r="R102" s="29">
        <v>16566</v>
      </c>
      <c r="S102" s="29">
        <v>14087</v>
      </c>
      <c r="T102" s="29">
        <v>4842</v>
      </c>
      <c r="U102" s="29">
        <v>-2462</v>
      </c>
      <c r="V102" s="29">
        <v>-4141</v>
      </c>
      <c r="W102" s="29"/>
      <c r="X102" s="29">
        <v>-20998</v>
      </c>
      <c r="Y102" s="29"/>
      <c r="Z102" s="29">
        <v>-274299</v>
      </c>
      <c r="AA102" s="29">
        <v>28900</v>
      </c>
      <c r="AB102" s="29">
        <v>-76744</v>
      </c>
      <c r="AC102" s="29">
        <v>6836</v>
      </c>
      <c r="AD102" s="29">
        <v>5515</v>
      </c>
      <c r="AE102" s="29">
        <v>-49741</v>
      </c>
      <c r="AF102" s="29">
        <v>5115</v>
      </c>
      <c r="AG102" s="29">
        <v>712</v>
      </c>
      <c r="AH102" s="29">
        <v>-29543</v>
      </c>
      <c r="AI102" s="29">
        <v>14885</v>
      </c>
      <c r="AJ102" s="29">
        <v>1370</v>
      </c>
      <c r="AK102" s="29">
        <v>583</v>
      </c>
      <c r="AL102" s="29">
        <v>-315</v>
      </c>
      <c r="AM102" s="29">
        <v>1111</v>
      </c>
      <c r="AN102" s="29">
        <v>-3594</v>
      </c>
      <c r="AO102" s="18"/>
      <c r="AP102" s="18"/>
      <c r="AQ102" s="18"/>
      <c r="AR102" s="18"/>
      <c r="AS102" s="18">
        <f t="shared" si="41"/>
        <v>-20342</v>
      </c>
      <c r="AT102" s="18">
        <f t="shared" si="41"/>
        <v>12326</v>
      </c>
      <c r="AU102" s="18">
        <f>SUMIFS($C102:$Z102,$C$7:$Z$7,AU$7)</f>
        <v>-295297</v>
      </c>
      <c r="AV102" s="18">
        <f>SUMIFS($C102:$AD102,$C$7:$AD$7,AV$7)</f>
        <v>-35493</v>
      </c>
      <c r="AW102" s="18">
        <f>SUMIFS($C102:$AH102,$C$7:$AH$7,AW$7)</f>
        <v>-73457</v>
      </c>
      <c r="AX102" s="18">
        <f t="shared" si="40"/>
        <v>16523</v>
      </c>
      <c r="AY102" s="2"/>
      <c r="AZ102" s="18">
        <f t="shared" si="37"/>
        <v>-8831</v>
      </c>
      <c r="BA102" s="18">
        <f t="shared" si="37"/>
        <v>2749</v>
      </c>
    </row>
    <row r="103" spans="1:53" ht="12.9" outlineLevel="1" x14ac:dyDescent="0.5">
      <c r="A103" s="2" t="s">
        <v>62</v>
      </c>
      <c r="B103" s="2"/>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c r="AA103" s="29"/>
      <c r="AB103" s="29"/>
      <c r="AC103" s="29"/>
      <c r="AD103" s="29"/>
      <c r="AE103" s="29"/>
      <c r="AF103" s="29"/>
      <c r="AG103" s="29"/>
      <c r="AH103" s="29"/>
      <c r="AI103" s="29"/>
      <c r="AJ103" s="29"/>
      <c r="AK103" s="29"/>
      <c r="AL103" s="29">
        <v>-207084</v>
      </c>
      <c r="AM103" s="29">
        <v>-233404</v>
      </c>
      <c r="AN103" s="29">
        <v>70116</v>
      </c>
      <c r="AO103" s="18"/>
      <c r="AP103" s="18"/>
      <c r="AQ103" s="18"/>
      <c r="AR103" s="18"/>
      <c r="AS103" s="18"/>
      <c r="AT103" s="18"/>
      <c r="AU103" s="18"/>
      <c r="AV103" s="18"/>
      <c r="AW103" s="18"/>
      <c r="AX103" s="18">
        <f t="shared" si="40"/>
        <v>-207084</v>
      </c>
      <c r="AY103" s="2"/>
      <c r="AZ103" s="18">
        <f t="shared" si="37"/>
        <v>0</v>
      </c>
      <c r="BA103" s="18">
        <f t="shared" si="37"/>
        <v>-440488</v>
      </c>
    </row>
    <row r="104" spans="1:53" ht="12.9" outlineLevel="1" x14ac:dyDescent="0.5">
      <c r="A104" s="2" t="s">
        <v>63</v>
      </c>
      <c r="B104" s="2"/>
      <c r="C104" s="29"/>
      <c r="D104" s="29"/>
      <c r="E104" s="29"/>
      <c r="F104" s="29"/>
      <c r="G104" s="29"/>
      <c r="H104" s="29"/>
      <c r="I104" s="29"/>
      <c r="J104" s="29"/>
      <c r="K104" s="29"/>
      <c r="L104" s="29"/>
      <c r="M104" s="29"/>
      <c r="N104" s="29"/>
      <c r="O104" s="29"/>
      <c r="P104" s="29"/>
      <c r="Q104" s="29">
        <v>1625</v>
      </c>
      <c r="R104" s="29">
        <v>3403</v>
      </c>
      <c r="S104" s="29"/>
      <c r="T104" s="29"/>
      <c r="U104" s="29"/>
      <c r="V104" s="29"/>
      <c r="W104" s="29">
        <v>990</v>
      </c>
      <c r="X104" s="29"/>
      <c r="Y104" s="29">
        <v>1403</v>
      </c>
      <c r="Z104" s="29">
        <v>4258</v>
      </c>
      <c r="AA104" s="29">
        <v>0</v>
      </c>
      <c r="AB104" s="29">
        <v>0</v>
      </c>
      <c r="AC104" s="29">
        <v>0</v>
      </c>
      <c r="AD104" s="29">
        <v>0</v>
      </c>
      <c r="AE104" s="29">
        <v>0</v>
      </c>
      <c r="AF104" s="29">
        <v>0</v>
      </c>
      <c r="AG104" s="29">
        <v>0</v>
      </c>
      <c r="AH104" s="29">
        <v>0</v>
      </c>
      <c r="AI104" s="29">
        <v>0</v>
      </c>
      <c r="AJ104" s="29">
        <v>0</v>
      </c>
      <c r="AK104" s="29">
        <v>0</v>
      </c>
      <c r="AL104" s="29">
        <v>0</v>
      </c>
      <c r="AM104" s="29">
        <v>0</v>
      </c>
      <c r="AN104" s="29">
        <v>0</v>
      </c>
      <c r="AO104" s="18"/>
      <c r="AP104" s="18"/>
      <c r="AQ104" s="18"/>
      <c r="AR104" s="18"/>
      <c r="AS104" s="18">
        <f>SUMIFS($C104:$V104,$C$7:$V$7,AS$7)</f>
        <v>5028</v>
      </c>
      <c r="AT104" s="18"/>
      <c r="AU104" s="18">
        <f>SUMIFS($C104:$Z104,$C$7:$Z$7,AU$7)</f>
        <v>6651</v>
      </c>
      <c r="AV104" s="18">
        <f>SUMIFS($C104:$AD104,$C$7:$AD$7,AV$7)</f>
        <v>0</v>
      </c>
      <c r="AW104" s="18">
        <f>SUMIFS($C104:$AH104,$C$7:$AH$7,AW$7)</f>
        <v>0</v>
      </c>
      <c r="AX104" s="18">
        <f t="shared" si="40"/>
        <v>0</v>
      </c>
      <c r="AY104" s="2"/>
      <c r="AZ104" s="18">
        <f t="shared" si="37"/>
        <v>0</v>
      </c>
      <c r="BA104" s="18">
        <f t="shared" si="37"/>
        <v>0</v>
      </c>
    </row>
    <row r="105" spans="1:53" ht="12.9" outlineLevel="1" x14ac:dyDescent="0.5">
      <c r="A105" s="2" t="s">
        <v>25</v>
      </c>
      <c r="B105" s="2"/>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c r="AA105" s="29">
        <v>19860</v>
      </c>
      <c r="AB105" s="29">
        <v>45266</v>
      </c>
      <c r="AC105" s="29">
        <v>6000</v>
      </c>
      <c r="AD105" s="29">
        <v>0</v>
      </c>
      <c r="AE105" s="29">
        <v>0</v>
      </c>
      <c r="AF105" s="29">
        <v>35961</v>
      </c>
      <c r="AG105" s="29">
        <v>1619</v>
      </c>
      <c r="AH105" s="29">
        <v>8991</v>
      </c>
      <c r="AI105" s="29">
        <v>0</v>
      </c>
      <c r="AJ105" s="29">
        <v>0</v>
      </c>
      <c r="AK105" s="29">
        <v>0</v>
      </c>
      <c r="AL105" s="29">
        <v>0</v>
      </c>
      <c r="AM105" s="29">
        <v>0</v>
      </c>
      <c r="AN105" s="29">
        <v>0</v>
      </c>
      <c r="AO105" s="18"/>
      <c r="AP105" s="18"/>
      <c r="AQ105" s="18"/>
      <c r="AR105" s="18"/>
      <c r="AS105" s="18"/>
      <c r="AT105" s="18"/>
      <c r="AU105" s="18"/>
      <c r="AV105" s="18">
        <f>SUMIFS($C105:$AD105,$C$7:$AD$7,AV$7)</f>
        <v>71126</v>
      </c>
      <c r="AW105" s="18">
        <f>SUMIFS($C105:$AH105,$C$7:$AH$7,AW$7)</f>
        <v>46571</v>
      </c>
      <c r="AX105" s="18">
        <f t="shared" si="40"/>
        <v>0</v>
      </c>
      <c r="AY105" s="2"/>
      <c r="AZ105" s="18">
        <f t="shared" si="37"/>
        <v>46571</v>
      </c>
      <c r="BA105" s="18">
        <f t="shared" si="37"/>
        <v>0</v>
      </c>
    </row>
    <row r="106" spans="1:53" ht="12.9" outlineLevel="1" x14ac:dyDescent="0.5">
      <c r="A106" s="2" t="s">
        <v>27</v>
      </c>
      <c r="B106" s="2"/>
      <c r="C106" s="29"/>
      <c r="D106" s="29"/>
      <c r="E106" s="29"/>
      <c r="F106" s="29"/>
      <c r="G106" s="29">
        <v>-38</v>
      </c>
      <c r="H106" s="29">
        <v>169</v>
      </c>
      <c r="I106" s="29">
        <v>-219</v>
      </c>
      <c r="J106" s="29">
        <v>39</v>
      </c>
      <c r="K106" s="29"/>
      <c r="L106" s="29">
        <v>2</v>
      </c>
      <c r="M106" s="29">
        <v>62</v>
      </c>
      <c r="N106" s="29">
        <v>36</v>
      </c>
      <c r="O106" s="29">
        <v>-98</v>
      </c>
      <c r="P106" s="29">
        <v>73</v>
      </c>
      <c r="Q106" s="29">
        <v>806</v>
      </c>
      <c r="R106" s="29">
        <v>-1005</v>
      </c>
      <c r="S106" s="29">
        <v>19</v>
      </c>
      <c r="T106" s="29">
        <v>281</v>
      </c>
      <c r="U106" s="29">
        <v>128</v>
      </c>
      <c r="V106" s="29">
        <v>580</v>
      </c>
      <c r="W106" s="29">
        <v>218</v>
      </c>
      <c r="X106" s="29">
        <v>1481</v>
      </c>
      <c r="Y106" s="29">
        <v>396</v>
      </c>
      <c r="Z106" s="29">
        <v>475</v>
      </c>
      <c r="AA106" s="29">
        <v>615</v>
      </c>
      <c r="AB106" s="29">
        <v>374</v>
      </c>
      <c r="AC106" s="29">
        <v>877</v>
      </c>
      <c r="AD106" s="29">
        <v>767</v>
      </c>
      <c r="AE106" s="29">
        <v>534</v>
      </c>
      <c r="AF106" s="29">
        <v>548</v>
      </c>
      <c r="AG106" s="29">
        <v>-447</v>
      </c>
      <c r="AH106" s="29">
        <v>984</v>
      </c>
      <c r="AI106" s="29">
        <v>191</v>
      </c>
      <c r="AJ106" s="29">
        <v>343</v>
      </c>
      <c r="AK106" s="29">
        <v>1355</v>
      </c>
      <c r="AL106" s="29">
        <v>1297</v>
      </c>
      <c r="AM106" s="29">
        <f>AM77</f>
        <v>-71</v>
      </c>
      <c r="AN106" s="29">
        <v>1471</v>
      </c>
      <c r="AO106" s="18"/>
      <c r="AP106" s="18">
        <v>270</v>
      </c>
      <c r="AQ106" s="18">
        <f>SUMIFS($C106:$V106,$C$7:$V$7,AQ$7)</f>
        <v>-49</v>
      </c>
      <c r="AR106" s="18">
        <f>SUMIFS($C106:$V106,$C$7:$V$7,AR$7)</f>
        <v>100</v>
      </c>
      <c r="AS106" s="18">
        <f>SUMIFS($C106:$V106,$C$7:$V$7,AS$7)</f>
        <v>-224</v>
      </c>
      <c r="AT106" s="18">
        <f>SUMIFS($C106:$V106,$C$7:$V$7,AT$7)</f>
        <v>1008</v>
      </c>
      <c r="AU106" s="18">
        <f>SUMIFS($C106:$Z106,$C$7:$Z$7,AU$7)</f>
        <v>2570</v>
      </c>
      <c r="AV106" s="18">
        <f>SUMIFS($C106:$AD106,$C$7:$AD$7,AV$7)</f>
        <v>2633</v>
      </c>
      <c r="AW106" s="18">
        <f>SUMIFS($C106:$AH106,$C$7:$AH$7,AW$7)</f>
        <v>1619</v>
      </c>
      <c r="AX106" s="18">
        <f t="shared" si="40"/>
        <v>3186</v>
      </c>
      <c r="AY106" s="2"/>
      <c r="AZ106" s="18">
        <f t="shared" si="37"/>
        <v>1276</v>
      </c>
      <c r="BA106" s="18">
        <f t="shared" si="37"/>
        <v>2924</v>
      </c>
    </row>
    <row r="107" spans="1:53" ht="12.9" outlineLevel="1" x14ac:dyDescent="0.5">
      <c r="A107" s="2" t="s">
        <v>47</v>
      </c>
      <c r="B107" s="2"/>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c r="AA107" s="29"/>
      <c r="AB107" s="29"/>
      <c r="AC107" s="29"/>
      <c r="AD107" s="29"/>
      <c r="AE107" s="29"/>
      <c r="AF107" s="29"/>
      <c r="AG107" s="29"/>
      <c r="AH107" s="29"/>
      <c r="AI107" s="29"/>
      <c r="AJ107" s="29"/>
      <c r="AK107" s="29"/>
      <c r="AL107" s="29"/>
      <c r="AM107" s="29"/>
      <c r="AN107" s="29"/>
      <c r="AO107" s="18"/>
      <c r="AP107" s="18"/>
      <c r="AQ107" s="18"/>
      <c r="AR107" s="18"/>
      <c r="AS107" s="18"/>
      <c r="AT107" s="18"/>
      <c r="AU107" s="18"/>
      <c r="AV107" s="18"/>
      <c r="AW107" s="18"/>
      <c r="AX107" s="18">
        <f t="shared" si="40"/>
        <v>0</v>
      </c>
      <c r="AY107" s="2"/>
      <c r="AZ107" s="18">
        <f t="shared" si="37"/>
        <v>0</v>
      </c>
      <c r="BA107" s="18">
        <f t="shared" si="37"/>
        <v>0</v>
      </c>
    </row>
    <row r="108" spans="1:53" ht="12.9" outlineLevel="1" x14ac:dyDescent="0.5">
      <c r="A108" s="2" t="s">
        <v>22</v>
      </c>
      <c r="B108" s="2"/>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c r="AA108" s="29"/>
      <c r="AB108" s="29"/>
      <c r="AC108" s="29"/>
      <c r="AD108" s="29"/>
      <c r="AE108" s="29"/>
      <c r="AF108" s="29"/>
      <c r="AG108" s="29"/>
      <c r="AH108" s="29"/>
      <c r="AI108" s="29"/>
      <c r="AJ108" s="29"/>
      <c r="AK108" s="29"/>
      <c r="AL108" s="29">
        <v>117174</v>
      </c>
      <c r="AM108" s="29">
        <f>AM70</f>
        <v>14063</v>
      </c>
      <c r="AN108" s="29">
        <v>18804</v>
      </c>
      <c r="AO108" s="18"/>
      <c r="AP108" s="18"/>
      <c r="AQ108" s="18"/>
      <c r="AR108" s="18"/>
      <c r="AS108" s="18"/>
      <c r="AT108" s="18"/>
      <c r="AU108" s="18"/>
      <c r="AV108" s="18"/>
      <c r="AW108" s="18"/>
      <c r="AX108" s="18">
        <f t="shared" si="40"/>
        <v>117174</v>
      </c>
      <c r="AY108" s="2"/>
      <c r="AZ108" s="18">
        <f t="shared" ref="AZ108:BA116" si="42">SUMIFS($C108:$AM108,$C$5:$AM$5,"&lt;="&amp;AZ$5,$C$5:$AM$5,"&gt;"&amp;EOMONTH(AZ$5,-12))</f>
        <v>0</v>
      </c>
      <c r="BA108" s="18">
        <f t="shared" si="42"/>
        <v>131237</v>
      </c>
    </row>
    <row r="109" spans="1:53" ht="12.9" outlineLevel="1" x14ac:dyDescent="0.5">
      <c r="A109" s="2" t="s">
        <v>23</v>
      </c>
      <c r="B109" s="2"/>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c r="AA109" s="29"/>
      <c r="AB109" s="29"/>
      <c r="AC109" s="29"/>
      <c r="AD109" s="29"/>
      <c r="AE109" s="29"/>
      <c r="AF109" s="29"/>
      <c r="AG109" s="29"/>
      <c r="AH109" s="29"/>
      <c r="AI109" s="29"/>
      <c r="AJ109" s="29"/>
      <c r="AK109" s="29"/>
      <c r="AL109" s="29"/>
      <c r="AM109" s="29">
        <f>AM71</f>
        <v>6637</v>
      </c>
      <c r="AN109" s="29"/>
      <c r="AO109" s="18"/>
      <c r="AP109" s="18"/>
      <c r="AQ109" s="18"/>
      <c r="AR109" s="18"/>
      <c r="AS109" s="18"/>
      <c r="AT109" s="18"/>
      <c r="AU109" s="18"/>
      <c r="AV109" s="18"/>
      <c r="AW109" s="18"/>
      <c r="AX109" s="18"/>
      <c r="AY109" s="2"/>
      <c r="AZ109" s="18">
        <f t="shared" si="42"/>
        <v>0</v>
      </c>
      <c r="BA109" s="18">
        <f t="shared" si="42"/>
        <v>6637</v>
      </c>
    </row>
    <row r="110" spans="1:53" ht="12.9" outlineLevel="1" x14ac:dyDescent="0.5">
      <c r="A110" s="2" t="s">
        <v>24</v>
      </c>
      <c r="B110" s="2"/>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c r="AA110" s="29"/>
      <c r="AB110" s="29"/>
      <c r="AC110" s="29"/>
      <c r="AD110" s="29"/>
      <c r="AE110" s="29"/>
      <c r="AF110" s="29"/>
      <c r="AG110" s="29"/>
      <c r="AH110" s="29"/>
      <c r="AI110" s="29"/>
      <c r="AJ110" s="29"/>
      <c r="AK110" s="29"/>
      <c r="AL110" s="29">
        <v>132313</v>
      </c>
      <c r="AM110" s="29"/>
      <c r="AN110" s="29"/>
      <c r="AO110" s="18"/>
      <c r="AP110" s="18"/>
      <c r="AQ110" s="18"/>
      <c r="AR110" s="18"/>
      <c r="AS110" s="18"/>
      <c r="AT110" s="18"/>
      <c r="AU110" s="18"/>
      <c r="AV110" s="18"/>
      <c r="AW110" s="18"/>
      <c r="AX110" s="18">
        <f t="shared" ref="AX110:AX116" si="43">SUMIFS($C110:$AL110,$C$7:$AL$7,AX$7)</f>
        <v>132313</v>
      </c>
      <c r="AY110" s="2"/>
      <c r="AZ110" s="18">
        <f t="shared" si="42"/>
        <v>0</v>
      </c>
      <c r="BA110" s="18">
        <f t="shared" si="42"/>
        <v>132313</v>
      </c>
    </row>
    <row r="111" spans="1:53" ht="12.9" outlineLevel="1" x14ac:dyDescent="0.5">
      <c r="A111" s="2" t="s">
        <v>48</v>
      </c>
      <c r="B111" s="2"/>
      <c r="C111" s="29"/>
      <c r="D111" s="29"/>
      <c r="E111" s="29"/>
      <c r="F111" s="29"/>
      <c r="G111" s="29"/>
      <c r="H111" s="29"/>
      <c r="I111" s="29"/>
      <c r="J111" s="29"/>
      <c r="K111" s="29"/>
      <c r="L111" s="29"/>
      <c r="M111" s="29"/>
      <c r="N111" s="29"/>
      <c r="O111" s="29"/>
      <c r="P111" s="29"/>
      <c r="Q111" s="29"/>
      <c r="R111" s="29"/>
      <c r="S111" s="29"/>
      <c r="T111" s="29"/>
      <c r="U111" s="29"/>
      <c r="V111" s="29">
        <v>-373445</v>
      </c>
      <c r="W111" s="29"/>
      <c r="X111" s="29"/>
      <c r="Y111" s="29"/>
      <c r="Z111" s="29"/>
      <c r="AA111" s="29"/>
      <c r="AB111" s="29"/>
      <c r="AC111" s="29"/>
      <c r="AD111" s="29"/>
      <c r="AE111" s="29"/>
      <c r="AF111" s="29"/>
      <c r="AG111" s="29"/>
      <c r="AH111" s="29"/>
      <c r="AI111" s="29"/>
      <c r="AJ111" s="29"/>
      <c r="AK111" s="29"/>
      <c r="AL111" s="29"/>
      <c r="AM111" s="29"/>
      <c r="AN111" s="29"/>
      <c r="AO111" s="18"/>
      <c r="AP111" s="18"/>
      <c r="AQ111" s="18"/>
      <c r="AR111" s="18"/>
      <c r="AS111" s="18"/>
      <c r="AT111" s="18">
        <f>SUMIFS($C111:$V111,$C$7:$V$7,AT$7)</f>
        <v>-373445</v>
      </c>
      <c r="AU111" s="18"/>
      <c r="AV111" s="18"/>
      <c r="AW111" s="18"/>
      <c r="AX111" s="18">
        <f t="shared" si="43"/>
        <v>0</v>
      </c>
      <c r="AY111" s="2"/>
      <c r="AZ111" s="18">
        <f t="shared" si="42"/>
        <v>0</v>
      </c>
      <c r="BA111" s="18">
        <f t="shared" si="42"/>
        <v>0</v>
      </c>
    </row>
    <row r="112" spans="1:53" ht="12.9" outlineLevel="1" x14ac:dyDescent="0.5">
      <c r="A112" s="2" t="s">
        <v>49</v>
      </c>
      <c r="B112" s="2"/>
      <c r="C112" s="29"/>
      <c r="D112" s="29"/>
      <c r="E112" s="29"/>
      <c r="F112" s="29"/>
      <c r="G112" s="29"/>
      <c r="H112" s="29"/>
      <c r="I112" s="29"/>
      <c r="J112" s="29"/>
      <c r="K112" s="29"/>
      <c r="L112" s="29"/>
      <c r="M112" s="29"/>
      <c r="N112" s="29"/>
      <c r="O112" s="29"/>
      <c r="P112" s="29">
        <v>2086</v>
      </c>
      <c r="Q112" s="29">
        <v>4965</v>
      </c>
      <c r="R112" s="29">
        <v>3760</v>
      </c>
      <c r="S112" s="29">
        <v>2879</v>
      </c>
      <c r="T112" s="29">
        <v>1484</v>
      </c>
      <c r="U112" s="29">
        <v>986</v>
      </c>
      <c r="V112" s="29">
        <v>739</v>
      </c>
      <c r="W112" s="29">
        <v>513</v>
      </c>
      <c r="X112" s="29">
        <v>210</v>
      </c>
      <c r="Y112" s="29">
        <v>210</v>
      </c>
      <c r="Z112" s="29">
        <v>189</v>
      </c>
      <c r="AA112" s="29">
        <v>188</v>
      </c>
      <c r="AB112" s="29">
        <v>135</v>
      </c>
      <c r="AC112" s="29">
        <v>104</v>
      </c>
      <c r="AD112" s="29">
        <v>87</v>
      </c>
      <c r="AE112" s="29">
        <v>72</v>
      </c>
      <c r="AF112" s="29">
        <v>62</v>
      </c>
      <c r="AG112" s="29">
        <v>53</v>
      </c>
      <c r="AH112" s="29">
        <v>43</v>
      </c>
      <c r="AI112" s="29">
        <v>33</v>
      </c>
      <c r="AJ112" s="29">
        <v>24</v>
      </c>
      <c r="AK112" s="29">
        <v>21</v>
      </c>
      <c r="AL112" s="29">
        <f>AL87</f>
        <v>21</v>
      </c>
      <c r="AM112" s="29">
        <f>AM80</f>
        <v>19</v>
      </c>
      <c r="AN112" s="29">
        <v>18</v>
      </c>
      <c r="AO112" s="18"/>
      <c r="AP112" s="18"/>
      <c r="AQ112" s="18"/>
      <c r="AR112" s="18"/>
      <c r="AS112" s="18">
        <f>SUMIFS($C112:$V112,$C$7:$V$7,AS$7)</f>
        <v>10811</v>
      </c>
      <c r="AT112" s="18">
        <f>SUMIFS($C112:$V112,$C$7:$V$7,AT$7)</f>
        <v>6088</v>
      </c>
      <c r="AU112" s="18">
        <f>SUMIFS($C112:$Z112,$C$7:$Z$7,AU$7)</f>
        <v>1122</v>
      </c>
      <c r="AV112" s="18">
        <f>SUMIFS($C112:$AD112,$C$7:$AD$7,AV$7)</f>
        <v>514</v>
      </c>
      <c r="AW112" s="18">
        <f>SUMIFS($C112:$AH112,$C$7:$AH$7,AW$7)</f>
        <v>230</v>
      </c>
      <c r="AX112" s="18">
        <f t="shared" si="43"/>
        <v>99</v>
      </c>
      <c r="AY112" s="2"/>
      <c r="AZ112" s="18">
        <f t="shared" si="42"/>
        <v>191</v>
      </c>
      <c r="BA112" s="18">
        <f t="shared" si="42"/>
        <v>85</v>
      </c>
    </row>
    <row r="113" spans="1:53" ht="12.9" outlineLevel="1" x14ac:dyDescent="0.5">
      <c r="A113" s="2" t="s">
        <v>64</v>
      </c>
      <c r="B113" s="2"/>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c r="AA113" s="29"/>
      <c r="AB113" s="29"/>
      <c r="AC113" s="29"/>
      <c r="AD113" s="29"/>
      <c r="AE113" s="29">
        <v>-38326</v>
      </c>
      <c r="AF113" s="29">
        <v>-57734</v>
      </c>
      <c r="AG113" s="29">
        <v>-65940.37</v>
      </c>
      <c r="AH113" s="29">
        <v>-102523</v>
      </c>
      <c r="AI113" s="29">
        <v>-84607</v>
      </c>
      <c r="AJ113" s="29">
        <v>-109646.726</v>
      </c>
      <c r="AK113" s="29">
        <v>-71050</v>
      </c>
      <c r="AL113" s="29">
        <v>-317399</v>
      </c>
      <c r="AM113" s="29">
        <v>-118336</v>
      </c>
      <c r="AN113" s="29">
        <v>-85518</v>
      </c>
      <c r="AO113" s="18"/>
      <c r="AP113" s="18"/>
      <c r="AQ113" s="18"/>
      <c r="AR113" s="18"/>
      <c r="AS113" s="18"/>
      <c r="AT113" s="18"/>
      <c r="AU113" s="18"/>
      <c r="AV113" s="18"/>
      <c r="AW113" s="18">
        <f>SUMIFS($C113:$AH113,$C$7:$AH$7,AW$7)</f>
        <v>-264523.37</v>
      </c>
      <c r="AX113" s="18">
        <f t="shared" si="43"/>
        <v>-582702.72600000002</v>
      </c>
      <c r="AY113" s="2"/>
      <c r="AZ113" s="18">
        <f t="shared" si="42"/>
        <v>-310804.37</v>
      </c>
      <c r="BA113" s="18">
        <f t="shared" si="42"/>
        <v>-616431.72600000002</v>
      </c>
    </row>
    <row r="114" spans="1:53" ht="12.9" outlineLevel="1" x14ac:dyDescent="0.5">
      <c r="A114" s="7" t="s">
        <v>65</v>
      </c>
      <c r="B114" s="2"/>
      <c r="C114" s="20">
        <f t="shared" ref="C114:N114" si="44">SUM(C94:C112)</f>
        <v>-47978</v>
      </c>
      <c r="D114" s="20">
        <f t="shared" si="44"/>
        <v>-29620</v>
      </c>
      <c r="E114" s="20">
        <f t="shared" si="44"/>
        <v>-53930</v>
      </c>
      <c r="F114" s="20">
        <f t="shared" si="44"/>
        <v>-48289</v>
      </c>
      <c r="G114" s="20">
        <f t="shared" si="44"/>
        <v>-15110</v>
      </c>
      <c r="H114" s="20">
        <f t="shared" si="44"/>
        <v>5685</v>
      </c>
      <c r="I114" s="20">
        <f t="shared" si="44"/>
        <v>3677</v>
      </c>
      <c r="J114" s="20">
        <f t="shared" si="44"/>
        <v>20766</v>
      </c>
      <c r="K114" s="20">
        <f t="shared" si="44"/>
        <v>20091</v>
      </c>
      <c r="L114" s="20">
        <f t="shared" si="44"/>
        <v>29797</v>
      </c>
      <c r="M114" s="20">
        <f t="shared" si="44"/>
        <v>30093</v>
      </c>
      <c r="N114" s="20">
        <f t="shared" si="44"/>
        <v>34980</v>
      </c>
      <c r="O114" s="20">
        <f t="shared" ref="O114:AM114" si="45">SUM(O94:O113)</f>
        <v>29008</v>
      </c>
      <c r="P114" s="20">
        <f t="shared" si="45"/>
        <v>62381</v>
      </c>
      <c r="Q114" s="20">
        <f t="shared" si="45"/>
        <v>65400</v>
      </c>
      <c r="R114" s="20">
        <f t="shared" si="45"/>
        <v>67579</v>
      </c>
      <c r="S114" s="20">
        <f t="shared" si="45"/>
        <v>53799</v>
      </c>
      <c r="T114" s="20">
        <f t="shared" si="45"/>
        <v>99149</v>
      </c>
      <c r="U114" s="20">
        <f t="shared" si="45"/>
        <v>120723</v>
      </c>
      <c r="V114" s="20">
        <f t="shared" si="45"/>
        <v>109493</v>
      </c>
      <c r="W114" s="20">
        <f t="shared" si="45"/>
        <v>-8663</v>
      </c>
      <c r="X114" s="20">
        <f t="shared" si="45"/>
        <v>89165</v>
      </c>
      <c r="Y114" s="20">
        <f t="shared" si="45"/>
        <v>172024</v>
      </c>
      <c r="Z114" s="20">
        <f t="shared" si="45"/>
        <v>167825</v>
      </c>
      <c r="AA114" s="20">
        <f t="shared" si="45"/>
        <v>215934</v>
      </c>
      <c r="AB114" s="20">
        <f t="shared" si="45"/>
        <v>344907</v>
      </c>
      <c r="AC114" s="20">
        <f t="shared" si="45"/>
        <v>190268</v>
      </c>
      <c r="AD114" s="20">
        <f t="shared" si="45"/>
        <v>140357</v>
      </c>
      <c r="AE114" s="20">
        <f t="shared" si="45"/>
        <v>102454</v>
      </c>
      <c r="AF114" s="20">
        <f t="shared" si="45"/>
        <v>109494</v>
      </c>
      <c r="AG114" s="20">
        <f t="shared" si="45"/>
        <v>263173.63</v>
      </c>
      <c r="AH114" s="20">
        <f t="shared" si="45"/>
        <v>132980</v>
      </c>
      <c r="AI114" s="20">
        <f t="shared" si="45"/>
        <v>250862</v>
      </c>
      <c r="AJ114" s="20">
        <f t="shared" si="45"/>
        <v>245987.274</v>
      </c>
      <c r="AK114" s="20">
        <f t="shared" si="45"/>
        <v>345469</v>
      </c>
      <c r="AL114" s="20">
        <f t="shared" si="45"/>
        <v>284770</v>
      </c>
      <c r="AM114" s="20">
        <f t="shared" si="45"/>
        <v>542262</v>
      </c>
      <c r="AN114" s="20">
        <v>588721</v>
      </c>
      <c r="AO114" s="20"/>
      <c r="AP114" s="20">
        <f>SUM(AP94:AP112)</f>
        <v>-66597</v>
      </c>
      <c r="AQ114" s="20">
        <f t="shared" ref="AQ114:AT115" si="46">SUMIFS($C114:$V114,$C$7:$V$7,AQ$7)</f>
        <v>15018</v>
      </c>
      <c r="AR114" s="20">
        <f t="shared" si="46"/>
        <v>114961</v>
      </c>
      <c r="AS114" s="20">
        <f t="shared" si="46"/>
        <v>224368</v>
      </c>
      <c r="AT114" s="20">
        <f t="shared" si="46"/>
        <v>383164</v>
      </c>
      <c r="AU114" s="20">
        <f>SUMIFS($C114:$Z114,$C$7:$Z$7,AU$7)</f>
        <v>420351</v>
      </c>
      <c r="AV114" s="20">
        <f>SUMIFS($C114:$AD114,$C$7:$AD$7,AV$7)</f>
        <v>891466</v>
      </c>
      <c r="AW114" s="20">
        <f>SUMIFS($C114:$AH114,$C$7:$AH$7,AW$7)</f>
        <v>608101.63</v>
      </c>
      <c r="AX114" s="20">
        <f t="shared" si="43"/>
        <v>1127088.274</v>
      </c>
      <c r="AY114" s="7"/>
      <c r="AZ114" s="20">
        <f t="shared" si="42"/>
        <v>756509.63</v>
      </c>
      <c r="BA114" s="20">
        <f t="shared" si="42"/>
        <v>1418488.274</v>
      </c>
    </row>
    <row r="115" spans="1:53" ht="12.9" outlineLevel="1" x14ac:dyDescent="0.5">
      <c r="A115" s="2" t="s">
        <v>66</v>
      </c>
      <c r="B115" s="2"/>
      <c r="C115" s="2"/>
      <c r="D115" s="2"/>
      <c r="E115" s="2"/>
      <c r="F115" s="2"/>
      <c r="G115" s="2"/>
      <c r="H115" s="2"/>
      <c r="I115" s="2"/>
      <c r="J115" s="2"/>
      <c r="K115" s="2"/>
      <c r="L115" s="2"/>
      <c r="M115" s="2"/>
      <c r="N115" s="2"/>
      <c r="O115" s="2"/>
      <c r="P115" s="2"/>
      <c r="Q115" s="2"/>
      <c r="R115" s="29">
        <v>1292</v>
      </c>
      <c r="S115" s="16">
        <v>1277</v>
      </c>
      <c r="T115" s="16">
        <v>1277</v>
      </c>
      <c r="U115" s="16">
        <v>1277</v>
      </c>
      <c r="V115" s="16">
        <v>1277</v>
      </c>
      <c r="W115" s="16">
        <v>0</v>
      </c>
      <c r="X115" s="16">
        <v>1565</v>
      </c>
      <c r="Y115" s="16">
        <v>1544</v>
      </c>
      <c r="Z115" s="16">
        <v>1596</v>
      </c>
      <c r="AA115" s="16">
        <v>1728</v>
      </c>
      <c r="AB115" s="16">
        <v>1611</v>
      </c>
      <c r="AC115" s="16">
        <v>1494</v>
      </c>
      <c r="AD115" s="16">
        <v>1266</v>
      </c>
      <c r="AE115" s="16">
        <v>1241</v>
      </c>
      <c r="AF115" s="16">
        <v>1247</v>
      </c>
      <c r="AG115" s="16">
        <v>1263</v>
      </c>
      <c r="AH115" s="16">
        <v>1263</v>
      </c>
      <c r="AI115" s="16">
        <v>1236</v>
      </c>
      <c r="AJ115" s="29">
        <v>958</v>
      </c>
      <c r="AK115" s="29">
        <v>680</v>
      </c>
      <c r="AL115" s="29">
        <v>680</v>
      </c>
      <c r="AM115" s="29">
        <v>673</v>
      </c>
      <c r="AN115" s="29">
        <v>674</v>
      </c>
      <c r="AO115" s="17"/>
      <c r="AP115" s="17"/>
      <c r="AQ115" s="17"/>
      <c r="AR115" s="17"/>
      <c r="AS115" s="17">
        <f t="shared" si="46"/>
        <v>1292</v>
      </c>
      <c r="AT115" s="17">
        <f t="shared" si="46"/>
        <v>5108</v>
      </c>
      <c r="AU115" s="17">
        <v>6078</v>
      </c>
      <c r="AV115" s="18">
        <f>SUMIFS($C115:$AD115,$C$7:$AD$7,AV$7)</f>
        <v>6099</v>
      </c>
      <c r="AW115" s="18">
        <f>SUMIFS($C115:$AH115,$C$7:$AH$7,AW$7)</f>
        <v>5014</v>
      </c>
      <c r="AX115" s="18">
        <f t="shared" si="43"/>
        <v>3554</v>
      </c>
      <c r="AY115" s="2"/>
      <c r="AZ115" s="18">
        <f t="shared" si="42"/>
        <v>5009</v>
      </c>
      <c r="BA115" s="18">
        <f t="shared" si="42"/>
        <v>2991</v>
      </c>
    </row>
    <row r="116" spans="1:53" ht="12.9" outlineLevel="1" x14ac:dyDescent="0.5">
      <c r="A116" s="7" t="s">
        <v>67</v>
      </c>
      <c r="B116" s="2"/>
      <c r="C116" s="20">
        <f t="shared" ref="C116:AM116" si="47">C114+C115</f>
        <v>-47978</v>
      </c>
      <c r="D116" s="20">
        <f t="shared" si="47"/>
        <v>-29620</v>
      </c>
      <c r="E116" s="20">
        <f t="shared" si="47"/>
        <v>-53930</v>
      </c>
      <c r="F116" s="20">
        <f t="shared" si="47"/>
        <v>-48289</v>
      </c>
      <c r="G116" s="20">
        <f t="shared" si="47"/>
        <v>-15110</v>
      </c>
      <c r="H116" s="20">
        <f t="shared" si="47"/>
        <v>5685</v>
      </c>
      <c r="I116" s="20">
        <f t="shared" si="47"/>
        <v>3677</v>
      </c>
      <c r="J116" s="20">
        <f t="shared" si="47"/>
        <v>20766</v>
      </c>
      <c r="K116" s="20">
        <f t="shared" si="47"/>
        <v>20091</v>
      </c>
      <c r="L116" s="20">
        <f t="shared" si="47"/>
        <v>29797</v>
      </c>
      <c r="M116" s="20">
        <f t="shared" si="47"/>
        <v>30093</v>
      </c>
      <c r="N116" s="20">
        <f t="shared" si="47"/>
        <v>34980</v>
      </c>
      <c r="O116" s="20">
        <f t="shared" si="47"/>
        <v>29008</v>
      </c>
      <c r="P116" s="20">
        <f t="shared" si="47"/>
        <v>62381</v>
      </c>
      <c r="Q116" s="20">
        <f t="shared" si="47"/>
        <v>65400</v>
      </c>
      <c r="R116" s="20">
        <f t="shared" si="47"/>
        <v>68871</v>
      </c>
      <c r="S116" s="20">
        <f t="shared" si="47"/>
        <v>55076</v>
      </c>
      <c r="T116" s="20">
        <f t="shared" si="47"/>
        <v>100426</v>
      </c>
      <c r="U116" s="20">
        <f t="shared" si="47"/>
        <v>122000</v>
      </c>
      <c r="V116" s="20">
        <f t="shared" si="47"/>
        <v>110770</v>
      </c>
      <c r="W116" s="20">
        <f t="shared" si="47"/>
        <v>-8663</v>
      </c>
      <c r="X116" s="20">
        <f t="shared" si="47"/>
        <v>90730</v>
      </c>
      <c r="Y116" s="20">
        <f t="shared" si="47"/>
        <v>173568</v>
      </c>
      <c r="Z116" s="20">
        <f t="shared" si="47"/>
        <v>169421</v>
      </c>
      <c r="AA116" s="20">
        <f t="shared" si="47"/>
        <v>217662</v>
      </c>
      <c r="AB116" s="20">
        <f t="shared" si="47"/>
        <v>346518</v>
      </c>
      <c r="AC116" s="20">
        <f t="shared" si="47"/>
        <v>191762</v>
      </c>
      <c r="AD116" s="20">
        <f t="shared" si="47"/>
        <v>141623</v>
      </c>
      <c r="AE116" s="20">
        <f t="shared" si="47"/>
        <v>103695</v>
      </c>
      <c r="AF116" s="20">
        <f t="shared" si="47"/>
        <v>110741</v>
      </c>
      <c r="AG116" s="20">
        <f t="shared" si="47"/>
        <v>264436.63</v>
      </c>
      <c r="AH116" s="20">
        <f t="shared" si="47"/>
        <v>134243</v>
      </c>
      <c r="AI116" s="20">
        <f t="shared" si="47"/>
        <v>252098</v>
      </c>
      <c r="AJ116" s="20">
        <f t="shared" si="47"/>
        <v>246945.274</v>
      </c>
      <c r="AK116" s="20">
        <f t="shared" si="47"/>
        <v>346149</v>
      </c>
      <c r="AL116" s="20">
        <f t="shared" si="47"/>
        <v>285450</v>
      </c>
      <c r="AM116" s="20">
        <f t="shared" si="47"/>
        <v>542935</v>
      </c>
      <c r="AN116" s="20">
        <v>589395</v>
      </c>
      <c r="AO116" s="20"/>
      <c r="AP116" s="20">
        <f>AP114</f>
        <v>-66597</v>
      </c>
      <c r="AQ116" s="20">
        <f>SUMIFS($C116:$V116,$C$7:$V$7,AQ$7)</f>
        <v>15018</v>
      </c>
      <c r="AR116" s="20">
        <f>SUMIFS($C116:$V116,$C$7:$V$7,AR$7)</f>
        <v>114961</v>
      </c>
      <c r="AS116" s="20">
        <f>SUMIFS($C116:$V116,$C$7:$V$7,AS$7)</f>
        <v>225660</v>
      </c>
      <c r="AT116" s="20">
        <f>SUMIFS($C116:$V116,$C$7:$V$7,AT$7)</f>
        <v>388272</v>
      </c>
      <c r="AU116" s="20">
        <f>SUM(AU114:AU115)</f>
        <v>426429</v>
      </c>
      <c r="AV116" s="20">
        <f>SUMIFS($C116:$AD116,$C$7:$AD$7,AV$7)</f>
        <v>897565</v>
      </c>
      <c r="AW116" s="20">
        <f>SUMIFS($C116:$AH116,$C$7:$AH$7,AW$7)</f>
        <v>613115.63</v>
      </c>
      <c r="AX116" s="20">
        <f t="shared" si="43"/>
        <v>1130642.274</v>
      </c>
      <c r="AY116" s="7"/>
      <c r="AZ116" s="20">
        <f t="shared" si="42"/>
        <v>761518.63</v>
      </c>
      <c r="BA116" s="20">
        <f t="shared" si="42"/>
        <v>1421479.274</v>
      </c>
    </row>
    <row r="117" spans="1:53" ht="12.9" outlineLevel="1" x14ac:dyDescent="0.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18"/>
      <c r="AP117" s="18"/>
      <c r="AQ117" s="18"/>
      <c r="AR117" s="18"/>
      <c r="AS117" s="18"/>
      <c r="AT117" s="18"/>
      <c r="AU117" s="18"/>
      <c r="AV117" s="18"/>
      <c r="AW117" s="18"/>
      <c r="AX117" s="18"/>
      <c r="AY117" s="2"/>
      <c r="AZ117" s="2"/>
      <c r="BA117" s="2"/>
    </row>
    <row r="118" spans="1:53" ht="12.9" outlineLevel="1" x14ac:dyDescent="0.5">
      <c r="A118" s="7" t="s">
        <v>68</v>
      </c>
      <c r="B118" s="2"/>
      <c r="C118" s="2"/>
      <c r="D118" s="2"/>
      <c r="E118" s="2"/>
      <c r="F118" s="2"/>
      <c r="G118" s="2"/>
      <c r="H118" s="2"/>
      <c r="I118" s="2"/>
      <c r="J118" s="2"/>
      <c r="K118" s="2"/>
      <c r="L118" s="2"/>
      <c r="M118" s="2"/>
      <c r="N118" s="2"/>
      <c r="O118" s="2"/>
      <c r="P118" s="2"/>
      <c r="Q118" s="2"/>
      <c r="S118" s="2"/>
      <c r="T118" s="2"/>
      <c r="U118" s="2"/>
      <c r="V118" s="2"/>
      <c r="W118" s="2"/>
      <c r="X118" s="2"/>
      <c r="Y118" s="2"/>
      <c r="Z118" s="2"/>
      <c r="AA118" s="2"/>
      <c r="AB118" s="2"/>
      <c r="AC118" s="2"/>
      <c r="AD118" s="2"/>
      <c r="AE118" s="2"/>
      <c r="AF118" s="2"/>
      <c r="AG118" s="2"/>
      <c r="AH118" s="2"/>
      <c r="AI118" s="2"/>
      <c r="AJ118" s="2"/>
      <c r="AK118" s="2"/>
      <c r="AL118" s="2"/>
      <c r="AM118" s="2"/>
      <c r="AN118" s="2"/>
      <c r="AO118" s="18"/>
      <c r="AP118" s="18"/>
      <c r="AQ118" s="18"/>
      <c r="AR118" s="18"/>
      <c r="AS118" s="18"/>
      <c r="AT118" s="18"/>
      <c r="AU118" s="18"/>
      <c r="AV118" s="18"/>
      <c r="AW118" s="18"/>
      <c r="AX118" s="18"/>
      <c r="AY118" s="2"/>
      <c r="AZ118" s="2"/>
      <c r="BA118" s="2"/>
    </row>
    <row r="119" spans="1:53" ht="12.9" outlineLevel="1" x14ac:dyDescent="0.5">
      <c r="A119" s="2" t="s">
        <v>69</v>
      </c>
      <c r="B119" s="2"/>
      <c r="C119" s="53">
        <v>-0.33</v>
      </c>
      <c r="D119" s="53">
        <v>-0.2</v>
      </c>
      <c r="E119" s="53">
        <v>-0.35</v>
      </c>
      <c r="F119" s="53">
        <v>-0.21</v>
      </c>
      <c r="G119" s="53">
        <v>-0.05</v>
      </c>
      <c r="H119" s="53">
        <v>0.02</v>
      </c>
      <c r="I119" s="53">
        <v>0.01</v>
      </c>
      <c r="J119" s="53">
        <f>J$114/J$123</f>
        <v>5.8275313391872439E-2</v>
      </c>
      <c r="K119" s="53">
        <v>0.05</v>
      </c>
      <c r="L119" s="53">
        <v>0.08</v>
      </c>
      <c r="M119" s="53">
        <v>0.08</v>
      </c>
      <c r="N119" s="53">
        <v>0.09</v>
      </c>
      <c r="O119" s="53">
        <v>7.0000000000000007E-2</v>
      </c>
      <c r="P119" s="53">
        <v>0.15</v>
      </c>
      <c r="Q119" s="53">
        <v>0.16</v>
      </c>
      <c r="R119" s="53">
        <v>0.16</v>
      </c>
      <c r="S119" s="53">
        <v>0.13</v>
      </c>
      <c r="T119" s="53">
        <v>0.23</v>
      </c>
      <c r="U119" s="53">
        <v>0.28000000000000003</v>
      </c>
      <c r="V119" s="53">
        <v>0.25</v>
      </c>
      <c r="W119" s="53">
        <v>-0.02</v>
      </c>
      <c r="X119" s="53">
        <v>0.2</v>
      </c>
      <c r="Y119" s="53">
        <v>0.39</v>
      </c>
      <c r="Z119" s="53">
        <v>0.37</v>
      </c>
      <c r="AA119" s="53">
        <v>0.47</v>
      </c>
      <c r="AB119" s="53">
        <v>0.76</v>
      </c>
      <c r="AC119" s="53">
        <v>0.41</v>
      </c>
      <c r="AD119" s="53">
        <v>0.303433918047743</v>
      </c>
      <c r="AE119" s="53">
        <v>0.189226776990775</v>
      </c>
      <c r="AF119" s="53">
        <v>0.18834437086092701</v>
      </c>
      <c r="AG119" s="53">
        <v>0.44404662275255102</v>
      </c>
      <c r="AH119" s="53">
        <v>0.22</v>
      </c>
      <c r="AI119" s="53">
        <v>0.42</v>
      </c>
      <c r="AJ119" s="53">
        <v>0.41</v>
      </c>
      <c r="AK119" s="53">
        <v>0.56999999999999995</v>
      </c>
      <c r="AL119" s="53">
        <v>0.46</v>
      </c>
      <c r="AM119" s="53">
        <v>0.88</v>
      </c>
      <c r="AN119" s="53">
        <v>0.95</v>
      </c>
      <c r="AO119" s="53"/>
      <c r="AP119" s="53">
        <v>-1.0900000000000001</v>
      </c>
      <c r="AQ119" s="53">
        <v>0.04</v>
      </c>
      <c r="AR119" s="53">
        <v>0.3</v>
      </c>
      <c r="AS119" s="53">
        <v>0.54</v>
      </c>
      <c r="AT119" s="53">
        <v>0.89</v>
      </c>
      <c r="AU119" s="53">
        <v>0.95</v>
      </c>
      <c r="AV119" s="54">
        <v>1.9445981083345001</v>
      </c>
      <c r="AW119" s="54">
        <v>1.05</v>
      </c>
      <c r="AX119" s="54">
        <v>1.85</v>
      </c>
      <c r="AY119" s="2"/>
      <c r="AZ119" s="53"/>
      <c r="BA119" s="53"/>
    </row>
    <row r="120" spans="1:53" ht="12.9" outlineLevel="1" x14ac:dyDescent="0.5">
      <c r="A120" s="2" t="s">
        <v>70</v>
      </c>
      <c r="B120" s="2"/>
      <c r="C120" s="53"/>
      <c r="D120" s="53"/>
      <c r="E120" s="53"/>
      <c r="F120" s="53"/>
      <c r="G120" s="53">
        <v>-0.05</v>
      </c>
      <c r="H120" s="53">
        <v>0.02</v>
      </c>
      <c r="I120" s="53">
        <v>0.01</v>
      </c>
      <c r="J120" s="53">
        <f>J$116/J$124</f>
        <v>5.428579644525542E-2</v>
      </c>
      <c r="K120" s="53">
        <v>0.05</v>
      </c>
      <c r="L120" s="53">
        <v>7.0000000000000007E-2</v>
      </c>
      <c r="M120" s="53">
        <v>7.0000000000000007E-2</v>
      </c>
      <c r="N120" s="53">
        <v>0.08</v>
      </c>
      <c r="O120" s="53">
        <v>0.06</v>
      </c>
      <c r="P120" s="53">
        <v>0.13</v>
      </c>
      <c r="Q120" s="53">
        <v>0.13</v>
      </c>
      <c r="R120" s="53">
        <v>0.14000000000000001</v>
      </c>
      <c r="S120" s="53">
        <v>0.11</v>
      </c>
      <c r="T120" s="53">
        <v>0.21</v>
      </c>
      <c r="U120" s="53">
        <v>0.25</v>
      </c>
      <c r="V120" s="53">
        <v>0.23</v>
      </c>
      <c r="W120" s="53">
        <v>-0.02</v>
      </c>
      <c r="X120" s="53">
        <v>0.18</v>
      </c>
      <c r="Y120" s="53">
        <v>0.34</v>
      </c>
      <c r="Z120" s="53">
        <v>0.32</v>
      </c>
      <c r="AA120" s="53">
        <v>0.41</v>
      </c>
      <c r="AB120" s="53">
        <v>0.66</v>
      </c>
      <c r="AC120" s="53">
        <v>0.37</v>
      </c>
      <c r="AD120" s="53">
        <v>0.27070220139190199</v>
      </c>
      <c r="AE120" s="53">
        <v>0.177726702453672</v>
      </c>
      <c r="AF120" s="53">
        <v>0.178824490692297</v>
      </c>
      <c r="AG120" s="53">
        <v>0.42447517873940199</v>
      </c>
      <c r="AH120" s="53">
        <v>0.22</v>
      </c>
      <c r="AI120" s="53">
        <v>0.4</v>
      </c>
      <c r="AJ120" s="53">
        <v>0.39</v>
      </c>
      <c r="AK120" s="53">
        <v>0.55000000000000004</v>
      </c>
      <c r="AL120" s="53">
        <v>0.45</v>
      </c>
      <c r="AM120" s="53">
        <v>0.85</v>
      </c>
      <c r="AN120" s="53">
        <v>0.93</v>
      </c>
      <c r="AO120" s="53"/>
      <c r="AP120" s="53"/>
      <c r="AQ120" s="53">
        <v>0.03</v>
      </c>
      <c r="AR120" s="53">
        <v>0.27</v>
      </c>
      <c r="AS120" s="53">
        <v>0.46</v>
      </c>
      <c r="AT120" s="53">
        <v>0.8</v>
      </c>
      <c r="AU120" s="53">
        <v>0.84</v>
      </c>
      <c r="AV120" s="54">
        <v>1.70728993294974</v>
      </c>
      <c r="AW120" s="54">
        <v>1</v>
      </c>
      <c r="AX120" s="54">
        <v>1.8</v>
      </c>
      <c r="AY120" s="2"/>
      <c r="AZ120" s="53"/>
      <c r="BA120" s="53"/>
    </row>
    <row r="121" spans="1:53" ht="12.9" outlineLevel="1" x14ac:dyDescent="0.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361">
        <f>AM116/AM124</f>
        <v>0.85184981799924686</v>
      </c>
      <c r="AN121" s="361">
        <f>AN116/AN124</f>
        <v>0.92651337828129843</v>
      </c>
      <c r="AO121" s="2"/>
      <c r="AP121" s="2"/>
      <c r="AQ121" s="2"/>
      <c r="AR121" s="2"/>
      <c r="AS121" s="2"/>
      <c r="AT121" s="2"/>
      <c r="AU121" s="2"/>
      <c r="AV121" s="2"/>
      <c r="AW121" s="2"/>
      <c r="AX121" s="2"/>
      <c r="AY121" s="2"/>
      <c r="AZ121" s="2"/>
      <c r="BA121" s="2"/>
    </row>
    <row r="122" spans="1:53" ht="12.9" outlineLevel="1" x14ac:dyDescent="0.5">
      <c r="A122" s="7" t="s">
        <v>71</v>
      </c>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row>
    <row r="123" spans="1:53" ht="12.9" outlineLevel="1" x14ac:dyDescent="0.5">
      <c r="A123" s="2" t="s">
        <v>69</v>
      </c>
      <c r="B123" s="2"/>
      <c r="C123" s="29">
        <v>145069</v>
      </c>
      <c r="D123" s="29">
        <v>149253</v>
      </c>
      <c r="E123" s="29">
        <v>152334</v>
      </c>
      <c r="F123" s="29">
        <v>234548</v>
      </c>
      <c r="G123" s="29">
        <v>331324</v>
      </c>
      <c r="H123" s="29">
        <v>334488</v>
      </c>
      <c r="I123" s="29">
        <v>343893</v>
      </c>
      <c r="J123" s="29">
        <v>356343</v>
      </c>
      <c r="K123" s="29">
        <v>366737</v>
      </c>
      <c r="L123" s="29">
        <v>376357</v>
      </c>
      <c r="M123" s="29">
        <v>383951</v>
      </c>
      <c r="N123" s="29">
        <v>390030</v>
      </c>
      <c r="O123" s="29">
        <v>395948</v>
      </c>
      <c r="P123" s="29">
        <v>403301</v>
      </c>
      <c r="Q123" s="29">
        <v>409690</v>
      </c>
      <c r="R123" s="29">
        <v>413984</v>
      </c>
      <c r="S123" s="29">
        <v>419289</v>
      </c>
      <c r="T123" s="16">
        <v>423305</v>
      </c>
      <c r="U123" s="16">
        <v>427124</v>
      </c>
      <c r="V123" s="16">
        <v>430136</v>
      </c>
      <c r="W123" s="16">
        <v>434940</v>
      </c>
      <c r="X123" s="16">
        <v>440117</v>
      </c>
      <c r="Y123" s="16">
        <v>444458</v>
      </c>
      <c r="Z123" s="16">
        <v>452869</v>
      </c>
      <c r="AA123" s="16">
        <v>454973</v>
      </c>
      <c r="AB123" s="16">
        <v>455431</v>
      </c>
      <c r="AC123" s="16">
        <v>460654</v>
      </c>
      <c r="AD123" s="16">
        <v>462562</v>
      </c>
      <c r="AE123" s="16">
        <v>541435</v>
      </c>
      <c r="AF123" s="16">
        <v>581350</v>
      </c>
      <c r="AG123" s="16">
        <v>592672</v>
      </c>
      <c r="AH123" s="16">
        <v>598875</v>
      </c>
      <c r="AI123" s="16">
        <v>602234</v>
      </c>
      <c r="AJ123" s="29">
        <v>606692</v>
      </c>
      <c r="AK123" s="29">
        <v>611276</v>
      </c>
      <c r="AL123" s="29">
        <f>615053</f>
        <v>615053</v>
      </c>
      <c r="AM123" s="29">
        <v>616401</v>
      </c>
      <c r="AN123" s="29">
        <v>617666</v>
      </c>
      <c r="AO123" s="16"/>
      <c r="AP123" s="16">
        <v>170498</v>
      </c>
      <c r="AQ123" s="16">
        <v>341555</v>
      </c>
      <c r="AR123" s="16">
        <v>379344</v>
      </c>
      <c r="AS123" s="16">
        <v>405731</v>
      </c>
      <c r="AT123" s="16">
        <v>424999</v>
      </c>
      <c r="AU123" s="16">
        <v>443126</v>
      </c>
      <c r="AV123" s="16">
        <v>458432</v>
      </c>
      <c r="AW123" s="16">
        <v>578949</v>
      </c>
      <c r="AX123" s="16">
        <f>608856</f>
        <v>608856</v>
      </c>
      <c r="AY123" s="28"/>
      <c r="AZ123" s="28"/>
      <c r="BA123" s="28"/>
    </row>
    <row r="124" spans="1:53" ht="12.9" outlineLevel="1" x14ac:dyDescent="0.5">
      <c r="A124" s="2" t="s">
        <v>70</v>
      </c>
      <c r="B124" s="2"/>
      <c r="C124" s="29"/>
      <c r="D124" s="29"/>
      <c r="E124" s="29"/>
      <c r="F124" s="29"/>
      <c r="G124" s="29">
        <v>331324</v>
      </c>
      <c r="H124" s="29">
        <v>365731</v>
      </c>
      <c r="I124" s="29">
        <v>370746</v>
      </c>
      <c r="J124" s="29">
        <v>382531</v>
      </c>
      <c r="K124" s="29">
        <v>404319</v>
      </c>
      <c r="L124" s="29">
        <v>418468</v>
      </c>
      <c r="M124" s="29">
        <v>432284</v>
      </c>
      <c r="N124" s="29">
        <v>450703</v>
      </c>
      <c r="O124" s="29">
        <v>461761</v>
      </c>
      <c r="P124" s="29">
        <v>470022</v>
      </c>
      <c r="Q124" s="29">
        <v>495621</v>
      </c>
      <c r="R124" s="29">
        <v>488177</v>
      </c>
      <c r="S124" s="29">
        <v>487056</v>
      </c>
      <c r="T124" s="16">
        <v>486532</v>
      </c>
      <c r="U124" s="16">
        <v>486404</v>
      </c>
      <c r="V124" s="16">
        <v>485394</v>
      </c>
      <c r="W124" s="16">
        <v>434940</v>
      </c>
      <c r="X124" s="16">
        <v>500243</v>
      </c>
      <c r="Y124" s="16">
        <v>514806</v>
      </c>
      <c r="Z124" s="16">
        <v>523586</v>
      </c>
      <c r="AA124" s="16">
        <v>524540</v>
      </c>
      <c r="AB124" s="16">
        <v>522577</v>
      </c>
      <c r="AC124" s="16">
        <v>525003</v>
      </c>
      <c r="AD124" s="16">
        <v>523169</v>
      </c>
      <c r="AE124" s="16">
        <v>583452</v>
      </c>
      <c r="AF124" s="16">
        <v>619272</v>
      </c>
      <c r="AG124" s="16">
        <v>622974</v>
      </c>
      <c r="AH124" s="16">
        <v>622520</v>
      </c>
      <c r="AI124" s="16">
        <v>627423</v>
      </c>
      <c r="AJ124" s="29">
        <v>626669</v>
      </c>
      <c r="AK124" s="29">
        <v>628059</v>
      </c>
      <c r="AL124" s="29">
        <f>631048</f>
        <v>631048</v>
      </c>
      <c r="AM124" s="29">
        <v>637360</v>
      </c>
      <c r="AN124" s="29">
        <v>636143</v>
      </c>
      <c r="AO124" s="16"/>
      <c r="AP124" s="16">
        <v>170498</v>
      </c>
      <c r="AQ124" s="16">
        <v>341555</v>
      </c>
      <c r="AR124" s="16">
        <v>426519</v>
      </c>
      <c r="AS124" s="16">
        <v>478895</v>
      </c>
      <c r="AT124" s="16">
        <v>486381</v>
      </c>
      <c r="AU124" s="16">
        <v>507229</v>
      </c>
      <c r="AV124" s="16">
        <v>525725</v>
      </c>
      <c r="AW124" s="16">
        <v>615034</v>
      </c>
      <c r="AX124" s="16">
        <f>628320</f>
        <v>628320</v>
      </c>
      <c r="AY124" s="28"/>
      <c r="AZ124" s="28"/>
      <c r="BA124" s="28"/>
    </row>
    <row r="125" spans="1:53" ht="12.9" x14ac:dyDescent="0.5">
      <c r="A125" s="55"/>
      <c r="B125" s="2"/>
      <c r="AD125" s="16"/>
      <c r="AE125" s="16"/>
      <c r="AF125" s="16"/>
      <c r="AG125" s="16"/>
      <c r="AH125" s="16"/>
      <c r="AI125" s="16"/>
      <c r="AJ125" s="16"/>
      <c r="AK125" s="16"/>
      <c r="AL125" s="16"/>
      <c r="AM125" s="16"/>
      <c r="AN125" s="16"/>
      <c r="AO125" s="28"/>
      <c r="AP125" s="28"/>
      <c r="AQ125" s="28"/>
      <c r="AR125" s="28"/>
      <c r="AS125" s="28"/>
      <c r="AT125" s="28"/>
      <c r="AU125" s="28"/>
      <c r="AV125" s="28"/>
      <c r="AW125" s="28"/>
      <c r="AX125" s="28"/>
      <c r="AY125" s="28"/>
      <c r="AZ125" s="28"/>
      <c r="BA125" s="28"/>
    </row>
    <row r="126" spans="1:53" ht="12.9" x14ac:dyDescent="0.5">
      <c r="A126" s="55" t="s">
        <v>72</v>
      </c>
      <c r="B126" s="2"/>
      <c r="AD126" s="16"/>
      <c r="AE126" s="16"/>
      <c r="AF126" s="16"/>
      <c r="AG126" s="16"/>
      <c r="AH126" s="16"/>
      <c r="AI126" s="16"/>
      <c r="AJ126" s="16"/>
      <c r="AK126" s="16"/>
      <c r="AL126" s="16"/>
      <c r="AM126" s="16"/>
      <c r="AN126" s="16"/>
      <c r="AO126" s="28"/>
      <c r="AP126" s="28"/>
      <c r="AQ126" s="28"/>
      <c r="AR126" s="28"/>
      <c r="AS126" s="28"/>
      <c r="AT126" s="28"/>
      <c r="AU126" s="28"/>
      <c r="AV126" s="28"/>
      <c r="AW126" s="28"/>
      <c r="AX126" s="28"/>
      <c r="AY126" s="28"/>
      <c r="AZ126" s="28"/>
      <c r="BA126" s="28"/>
    </row>
    <row r="127" spans="1:53" ht="12.9" x14ac:dyDescent="0.5">
      <c r="A127" s="2" t="s">
        <v>73</v>
      </c>
      <c r="B127" s="2"/>
      <c r="O127" s="32"/>
      <c r="P127" s="32"/>
      <c r="Q127" s="32"/>
      <c r="R127" s="32"/>
      <c r="S127" s="32"/>
      <c r="T127" s="32"/>
      <c r="U127" s="32"/>
      <c r="V127" s="32"/>
      <c r="W127" s="32"/>
      <c r="X127" s="32"/>
      <c r="Y127" s="32"/>
      <c r="Z127" s="32"/>
      <c r="AA127" s="32"/>
      <c r="AB127" s="32"/>
      <c r="AC127" s="32"/>
      <c r="AD127" s="32"/>
      <c r="AE127" s="32">
        <f>'[23]GAAP IS'!AE34</f>
        <v>-226789</v>
      </c>
      <c r="AF127" s="32">
        <f>'[23]GAAP IS'!AF34</f>
        <v>-213773</v>
      </c>
      <c r="AG127" s="32">
        <f>'[23]GAAP IS'!AG34</f>
        <v>-48789</v>
      </c>
      <c r="AH127" s="32">
        <f>'[23]GAAP IS'!AH34</f>
        <v>-135181</v>
      </c>
      <c r="AI127" s="32">
        <f>'[23]GAAP IS'!AI34</f>
        <v>-6172</v>
      </c>
      <c r="AJ127" s="32">
        <f>'[23]GAAP IS'!AJ34</f>
        <v>-132107</v>
      </c>
      <c r="AK127" s="32">
        <f>'[23]GAAP IS'!AK34</f>
        <v>-9908</v>
      </c>
      <c r="AL127" s="32">
        <f>'[23]GAAP IS'!AL34</f>
        <v>-130652</v>
      </c>
      <c r="AM127" s="32">
        <f>'[23]GAAP IS'!AM34</f>
        <v>249743</v>
      </c>
      <c r="AN127" s="32">
        <v>306562</v>
      </c>
      <c r="AO127" s="28"/>
      <c r="AP127" s="28"/>
      <c r="AQ127" s="28"/>
      <c r="AR127" s="28"/>
      <c r="AS127" s="28"/>
      <c r="AT127" s="28"/>
      <c r="AU127" s="28"/>
      <c r="AV127" s="28"/>
      <c r="AW127" s="32">
        <f>'[23]GAAP IS'!AV34</f>
        <v>-624532</v>
      </c>
      <c r="AX127" s="32">
        <f>'[23]GAAP IS'!AW34</f>
        <v>-278839</v>
      </c>
      <c r="AY127" s="28"/>
      <c r="AZ127" s="12">
        <f t="shared" ref="AZ127:BA136" si="48">SUMIFS($C127:$AM127,$C$5:$AM$5,"&lt;="&amp;AZ$5,$C$5:$AM$5,"&gt;"&amp;EOMONTH(AZ$5,-12))</f>
        <v>-403915</v>
      </c>
      <c r="BA127" s="12">
        <f t="shared" si="48"/>
        <v>-22924</v>
      </c>
    </row>
    <row r="128" spans="1:53" ht="12.9" x14ac:dyDescent="0.5">
      <c r="A128" s="2" t="s">
        <v>74</v>
      </c>
      <c r="B128" s="2"/>
      <c r="O128" s="32"/>
      <c r="P128" s="32"/>
      <c r="Q128" s="32"/>
      <c r="R128" s="32"/>
      <c r="S128" s="32"/>
      <c r="T128" s="32"/>
      <c r="U128" s="32"/>
      <c r="V128" s="32"/>
      <c r="W128" s="32"/>
      <c r="X128" s="32"/>
      <c r="Y128" s="32"/>
      <c r="Z128" s="32"/>
      <c r="AA128" s="32"/>
      <c r="AB128" s="32"/>
      <c r="AC128" s="32"/>
      <c r="AD128" s="32"/>
      <c r="AE128" s="32">
        <f>'[23]GAAP IS'!AE22</f>
        <v>15469</v>
      </c>
      <c r="AF128" s="32">
        <f>'[23]GAAP IS'!AF22</f>
        <v>17899</v>
      </c>
      <c r="AG128" s="32">
        <f>'[23]GAAP IS'!AG22</f>
        <v>18506</v>
      </c>
      <c r="AH128" s="32">
        <f>'[23]GAAP IS'!AH22</f>
        <v>18320</v>
      </c>
      <c r="AI128" s="32">
        <f>'[23]GAAP IS'!AI22</f>
        <v>18508</v>
      </c>
      <c r="AJ128" s="32">
        <f>'[23]GAAP IS'!AJ22</f>
        <v>18392</v>
      </c>
      <c r="AK128" s="32">
        <f>'[23]GAAP IS'!AK22</f>
        <v>17880</v>
      </c>
      <c r="AL128" s="32">
        <f>'[23]GAAP IS'!AL22</f>
        <v>18049</v>
      </c>
      <c r="AM128" s="32">
        <f>'[23]GAAP IS'!AM22</f>
        <v>18027</v>
      </c>
      <c r="AN128" s="32">
        <v>17589</v>
      </c>
      <c r="AO128" s="28"/>
      <c r="AP128" s="28"/>
      <c r="AQ128" s="28"/>
      <c r="AR128" s="28"/>
      <c r="AS128" s="28"/>
      <c r="AT128" s="28"/>
      <c r="AU128" s="28"/>
      <c r="AV128" s="28"/>
      <c r="AW128" s="29">
        <v>70194</v>
      </c>
      <c r="AX128" s="18">
        <f>SUMIFS($C128:$AL128,$C$7:$AL$7,AX$7)</f>
        <v>72829</v>
      </c>
      <c r="AY128" s="28"/>
      <c r="AZ128" s="18">
        <f t="shared" si="48"/>
        <v>73233</v>
      </c>
      <c r="BA128" s="18">
        <f t="shared" si="48"/>
        <v>72348</v>
      </c>
    </row>
    <row r="129" spans="1:53" ht="12.9" x14ac:dyDescent="0.5">
      <c r="A129" s="2" t="s">
        <v>21</v>
      </c>
      <c r="B129" s="2"/>
      <c r="O129" s="32"/>
      <c r="P129" s="32"/>
      <c r="Q129" s="32"/>
      <c r="R129" s="32"/>
      <c r="S129" s="32"/>
      <c r="T129" s="32"/>
      <c r="U129" s="32"/>
      <c r="V129" s="32"/>
      <c r="W129" s="32"/>
      <c r="X129" s="32"/>
      <c r="Y129" s="32"/>
      <c r="Z129" s="32"/>
      <c r="AA129" s="32"/>
      <c r="AB129" s="32"/>
      <c r="AC129" s="32"/>
      <c r="AD129" s="32"/>
      <c r="AE129" s="32">
        <f t="shared" ref="AE129:AM129" si="49">AE22</f>
        <v>76065</v>
      </c>
      <c r="AF129" s="32">
        <f t="shared" si="49"/>
        <v>17067</v>
      </c>
      <c r="AG129" s="32">
        <f t="shared" si="49"/>
        <v>23470</v>
      </c>
      <c r="AH129" s="32">
        <f t="shared" si="49"/>
        <v>40662</v>
      </c>
      <c r="AI129" s="32">
        <f t="shared" si="49"/>
        <v>1551</v>
      </c>
      <c r="AJ129" s="32">
        <f t="shared" si="49"/>
        <v>102349</v>
      </c>
      <c r="AK129" s="32">
        <f t="shared" si="49"/>
        <v>24812</v>
      </c>
      <c r="AL129" s="32">
        <f t="shared" si="49"/>
        <v>5118</v>
      </c>
      <c r="AM129" s="32">
        <f t="shared" si="49"/>
        <v>32512</v>
      </c>
      <c r="AN129" s="32">
        <v>15350</v>
      </c>
      <c r="AO129" s="28"/>
      <c r="AP129" s="28"/>
      <c r="AQ129" s="28"/>
      <c r="AR129" s="28"/>
      <c r="AS129" s="28"/>
      <c r="AT129" s="28"/>
      <c r="AU129" s="28"/>
      <c r="AV129" s="28"/>
      <c r="AW129" s="32">
        <f>AW51</f>
        <v>157264</v>
      </c>
      <c r="AX129" s="32">
        <f>AX51</f>
        <v>133830</v>
      </c>
      <c r="AY129" s="28"/>
      <c r="AZ129" s="18">
        <f t="shared" si="48"/>
        <v>82750</v>
      </c>
      <c r="BA129" s="18">
        <f t="shared" si="48"/>
        <v>164791</v>
      </c>
    </row>
    <row r="130" spans="1:53" ht="12.9" x14ac:dyDescent="0.5">
      <c r="A130" s="2" t="s">
        <v>22</v>
      </c>
      <c r="B130" s="2"/>
      <c r="O130" s="32"/>
      <c r="P130" s="32"/>
      <c r="Q130" s="32"/>
      <c r="R130" s="32"/>
      <c r="S130" s="32"/>
      <c r="T130" s="32"/>
      <c r="U130" s="32"/>
      <c r="V130" s="32"/>
      <c r="W130" s="32"/>
      <c r="X130" s="32"/>
      <c r="Y130" s="32"/>
      <c r="Z130" s="32"/>
      <c r="AA130" s="32"/>
      <c r="AB130" s="32"/>
      <c r="AC130" s="32"/>
      <c r="AD130" s="32"/>
      <c r="AE130" s="32"/>
      <c r="AF130" s="32"/>
      <c r="AG130" s="32"/>
      <c r="AH130" s="32"/>
      <c r="AI130" s="32"/>
      <c r="AJ130" s="32"/>
      <c r="AK130" s="32"/>
      <c r="AL130" s="32">
        <f>AL108</f>
        <v>117174</v>
      </c>
      <c r="AM130" s="32">
        <f>AM108</f>
        <v>14063</v>
      </c>
      <c r="AN130" s="32">
        <v>18804</v>
      </c>
      <c r="AO130" s="28"/>
      <c r="AP130" s="28"/>
      <c r="AQ130" s="28"/>
      <c r="AR130" s="28"/>
      <c r="AS130" s="28"/>
      <c r="AT130" s="28"/>
      <c r="AU130" s="28"/>
      <c r="AV130" s="28"/>
      <c r="AW130" s="32"/>
      <c r="AX130" s="32">
        <f>AL130</f>
        <v>117174</v>
      </c>
      <c r="AY130" s="28"/>
      <c r="AZ130" s="18">
        <f t="shared" si="48"/>
        <v>0</v>
      </c>
      <c r="BA130" s="18">
        <f t="shared" si="48"/>
        <v>131237</v>
      </c>
    </row>
    <row r="131" spans="1:53" ht="12.9" x14ac:dyDescent="0.5">
      <c r="A131" s="2" t="s">
        <v>23</v>
      </c>
      <c r="B131" s="2"/>
      <c r="O131" s="32"/>
      <c r="P131" s="32"/>
      <c r="Q131" s="32"/>
      <c r="R131" s="32"/>
      <c r="S131" s="32"/>
      <c r="T131" s="32"/>
      <c r="U131" s="32"/>
      <c r="V131" s="32"/>
      <c r="W131" s="32"/>
      <c r="X131" s="32"/>
      <c r="Y131" s="32"/>
      <c r="Z131" s="32"/>
      <c r="AA131" s="32"/>
      <c r="AB131" s="32"/>
      <c r="AC131" s="32"/>
      <c r="AD131" s="32"/>
      <c r="AE131" s="32"/>
      <c r="AF131" s="32"/>
      <c r="AG131" s="32"/>
      <c r="AH131" s="32"/>
      <c r="AI131" s="32"/>
      <c r="AJ131" s="32"/>
      <c r="AK131" s="32"/>
      <c r="AL131" s="32"/>
      <c r="AM131" s="32">
        <f>AM109</f>
        <v>6637</v>
      </c>
      <c r="AN131" s="32">
        <v>0</v>
      </c>
      <c r="AO131" s="28"/>
      <c r="AP131" s="28"/>
      <c r="AQ131" s="28"/>
      <c r="AR131" s="28"/>
      <c r="AS131" s="28"/>
      <c r="AT131" s="28"/>
      <c r="AU131" s="28"/>
      <c r="AV131" s="28"/>
      <c r="AW131" s="32"/>
      <c r="AX131" s="32"/>
      <c r="AY131" s="28"/>
      <c r="AZ131" s="18">
        <f t="shared" si="48"/>
        <v>0</v>
      </c>
      <c r="BA131" s="18">
        <f t="shared" si="48"/>
        <v>6637</v>
      </c>
    </row>
    <row r="132" spans="1:53" ht="12.9" x14ac:dyDescent="0.5">
      <c r="A132" s="2" t="s">
        <v>24</v>
      </c>
      <c r="B132" s="2"/>
      <c r="O132" s="32"/>
      <c r="P132" s="32"/>
      <c r="Q132" s="32"/>
      <c r="R132" s="32"/>
      <c r="S132" s="32"/>
      <c r="T132" s="32"/>
      <c r="U132" s="32"/>
      <c r="V132" s="32"/>
      <c r="W132" s="32"/>
      <c r="X132" s="32"/>
      <c r="Y132" s="32"/>
      <c r="Z132" s="32"/>
      <c r="AA132" s="32"/>
      <c r="AB132" s="32"/>
      <c r="AC132" s="32"/>
      <c r="AD132" s="32"/>
      <c r="AE132" s="32"/>
      <c r="AF132" s="32"/>
      <c r="AG132" s="32"/>
      <c r="AH132" s="32"/>
      <c r="AI132" s="32"/>
      <c r="AJ132" s="32"/>
      <c r="AK132" s="32"/>
      <c r="AL132" s="32">
        <f>AL110</f>
        <v>132313</v>
      </c>
      <c r="AM132" s="32">
        <f>AM110</f>
        <v>0</v>
      </c>
      <c r="AN132" s="32">
        <v>0</v>
      </c>
      <c r="AO132" s="28"/>
      <c r="AP132" s="28"/>
      <c r="AQ132" s="28"/>
      <c r="AR132" s="28"/>
      <c r="AS132" s="28"/>
      <c r="AT132" s="28"/>
      <c r="AU132" s="28"/>
      <c r="AV132" s="28"/>
      <c r="AW132" s="32"/>
      <c r="AX132" s="32">
        <f>AL132</f>
        <v>132313</v>
      </c>
      <c r="AY132" s="28"/>
      <c r="AZ132" s="18">
        <f t="shared" si="48"/>
        <v>0</v>
      </c>
      <c r="BA132" s="18">
        <f t="shared" si="48"/>
        <v>132313</v>
      </c>
    </row>
    <row r="133" spans="1:53" ht="12.9" x14ac:dyDescent="0.5">
      <c r="A133" s="2" t="s">
        <v>25</v>
      </c>
      <c r="B133" s="2"/>
      <c r="O133" s="32"/>
      <c r="P133" s="32"/>
      <c r="Q133" s="32"/>
      <c r="R133" s="32"/>
      <c r="S133" s="32"/>
      <c r="T133" s="32"/>
      <c r="U133" s="32"/>
      <c r="V133" s="32"/>
      <c r="W133" s="32"/>
      <c r="X133" s="32"/>
      <c r="Y133" s="32"/>
      <c r="Z133" s="32"/>
      <c r="AA133" s="32"/>
      <c r="AB133" s="32"/>
      <c r="AC133" s="32"/>
      <c r="AD133" s="32"/>
      <c r="AE133" s="32">
        <f>'[23]GAAP IS'!AE31</f>
        <v>0</v>
      </c>
      <c r="AF133" s="32">
        <f>'[23]GAAP IS'!AF31</f>
        <v>35961</v>
      </c>
      <c r="AG133" s="32">
        <f>'[23]GAAP IS'!AG31</f>
        <v>1619</v>
      </c>
      <c r="AH133" s="32">
        <f>'[23]GAAP IS'!AH31</f>
        <v>8991</v>
      </c>
      <c r="AI133" s="32">
        <f>'[23]GAAP IS'!AI31</f>
        <v>0</v>
      </c>
      <c r="AJ133" s="32">
        <f>'[23]GAAP IS'!AJ31</f>
        <v>0</v>
      </c>
      <c r="AK133" s="32">
        <f>'[23]GAAP IS'!AK31</f>
        <v>0</v>
      </c>
      <c r="AL133" s="32">
        <f>'[23]GAAP IS'!AL31</f>
        <v>0</v>
      </c>
      <c r="AM133" s="32">
        <f>'[23]GAAP IS'!AM31</f>
        <v>0</v>
      </c>
      <c r="AN133" s="32">
        <v>0</v>
      </c>
      <c r="AO133" s="28"/>
      <c r="AP133" s="28"/>
      <c r="AQ133" s="28"/>
      <c r="AR133" s="28"/>
      <c r="AS133" s="28"/>
      <c r="AT133" s="28"/>
      <c r="AU133" s="28"/>
      <c r="AV133" s="28"/>
      <c r="AW133" s="32">
        <f>'[23]GAAP IS'!AV31</f>
        <v>46571</v>
      </c>
      <c r="AX133" s="32">
        <f>AL133</f>
        <v>0</v>
      </c>
      <c r="AY133" s="28"/>
      <c r="AZ133" s="18">
        <f t="shared" si="48"/>
        <v>46571</v>
      </c>
      <c r="BA133" s="18">
        <f t="shared" si="48"/>
        <v>0</v>
      </c>
    </row>
    <row r="134" spans="1:53" ht="12.9" x14ac:dyDescent="0.5">
      <c r="A134" s="2" t="s">
        <v>75</v>
      </c>
      <c r="B134" s="2"/>
      <c r="O134" s="32"/>
      <c r="P134" s="32"/>
      <c r="Q134" s="32"/>
      <c r="R134" s="32"/>
      <c r="S134" s="32"/>
      <c r="T134" s="32"/>
      <c r="U134" s="32"/>
      <c r="V134" s="32"/>
      <c r="W134" s="32"/>
      <c r="X134" s="32"/>
      <c r="Y134" s="32"/>
      <c r="Z134" s="32"/>
      <c r="AA134" s="32"/>
      <c r="AB134" s="32"/>
      <c r="AC134" s="32"/>
      <c r="AD134" s="32"/>
      <c r="AE134" s="32">
        <f>'[23]GAAP IS'!AE32</f>
        <v>26664</v>
      </c>
      <c r="AF134" s="32">
        <f>'[23]GAAP IS'!AF32</f>
        <v>39389</v>
      </c>
      <c r="AG134" s="32">
        <f>'[23]GAAP IS'!AG32</f>
        <v>37361</v>
      </c>
      <c r="AH134" s="32">
        <f>'[23]GAAP IS'!AH32</f>
        <v>35344</v>
      </c>
      <c r="AI134" s="32">
        <f>'[23]GAAP IS'!AI32</f>
        <v>37087</v>
      </c>
      <c r="AJ134" s="32">
        <f>'[23]GAAP IS'!AJ32</f>
        <v>36865</v>
      </c>
      <c r="AK134" s="32">
        <f>'[23]GAAP IS'!AK32</f>
        <v>56965</v>
      </c>
      <c r="AL134" s="32">
        <f>'[23]GAAP IS'!AL32</f>
        <v>43127</v>
      </c>
      <c r="AM134" s="32">
        <f>'[23]GAAP IS'!AM32</f>
        <v>43282</v>
      </c>
      <c r="AN134" s="32">
        <v>40813</v>
      </c>
      <c r="AO134" s="28"/>
      <c r="AP134" s="28"/>
      <c r="AQ134" s="28"/>
      <c r="AR134" s="28"/>
      <c r="AS134" s="28"/>
      <c r="AT134" s="28"/>
      <c r="AU134" s="28"/>
      <c r="AV134" s="28"/>
      <c r="AW134" s="29">
        <v>138758</v>
      </c>
      <c r="AX134" s="18">
        <f>SUMIFS($C134:$AL134,$C$7:$AL$7,AX$7)</f>
        <v>174044</v>
      </c>
      <c r="AY134" s="28"/>
      <c r="AZ134" s="18">
        <f t="shared" si="48"/>
        <v>149181</v>
      </c>
      <c r="BA134" s="18">
        <f t="shared" si="48"/>
        <v>180239</v>
      </c>
    </row>
    <row r="135" spans="1:53" ht="12.9" x14ac:dyDescent="0.5">
      <c r="A135" s="2" t="s">
        <v>76</v>
      </c>
      <c r="O135" s="32"/>
      <c r="P135" s="32"/>
      <c r="Q135" s="32"/>
      <c r="R135" s="32"/>
      <c r="S135" s="32"/>
      <c r="T135" s="32"/>
      <c r="U135" s="32"/>
      <c r="V135" s="32"/>
      <c r="W135" s="32"/>
      <c r="X135" s="32"/>
      <c r="Y135" s="32"/>
      <c r="Z135" s="32"/>
      <c r="AA135" s="32"/>
      <c r="AB135" s="32"/>
      <c r="AC135" s="32"/>
      <c r="AD135" s="32"/>
      <c r="AE135" s="32">
        <v>66337</v>
      </c>
      <c r="AF135" s="29"/>
      <c r="AG135" s="29"/>
      <c r="AH135" s="29"/>
      <c r="AI135" s="29"/>
      <c r="AJ135" s="29"/>
      <c r="AK135" s="29"/>
      <c r="AL135" s="29"/>
      <c r="AM135" s="29"/>
      <c r="AN135" s="29"/>
      <c r="AO135" s="28"/>
      <c r="AP135" s="28"/>
      <c r="AQ135" s="28"/>
      <c r="AR135" s="28"/>
      <c r="AS135" s="28"/>
      <c r="AT135" s="28"/>
      <c r="AU135" s="28"/>
      <c r="AV135" s="28"/>
      <c r="AW135" s="29">
        <v>66337</v>
      </c>
      <c r="AX135" s="29">
        <v>0</v>
      </c>
      <c r="AY135" s="28"/>
      <c r="AZ135" s="18">
        <f t="shared" si="48"/>
        <v>0</v>
      </c>
      <c r="BA135" s="18">
        <f t="shared" si="48"/>
        <v>0</v>
      </c>
    </row>
    <row r="136" spans="1:53" ht="12.9" x14ac:dyDescent="0.5">
      <c r="A136" s="7" t="s">
        <v>77</v>
      </c>
      <c r="B136" s="2"/>
      <c r="O136" s="20"/>
      <c r="P136" s="20"/>
      <c r="Q136" s="20"/>
      <c r="R136" s="20"/>
      <c r="S136" s="20"/>
      <c r="T136" s="20"/>
      <c r="U136" s="20"/>
      <c r="V136" s="20"/>
      <c r="W136" s="20"/>
      <c r="X136" s="20"/>
      <c r="Y136" s="20"/>
      <c r="Z136" s="20"/>
      <c r="AA136" s="20"/>
      <c r="AB136" s="20"/>
      <c r="AC136" s="20"/>
      <c r="AD136" s="20"/>
      <c r="AE136" s="20">
        <f t="shared" ref="AE136:AM136" si="50">SUM(AE127:AE135)</f>
        <v>-42254</v>
      </c>
      <c r="AF136" s="20">
        <f t="shared" si="50"/>
        <v>-103457</v>
      </c>
      <c r="AG136" s="20">
        <f t="shared" si="50"/>
        <v>32167</v>
      </c>
      <c r="AH136" s="20">
        <f t="shared" si="50"/>
        <v>-31864</v>
      </c>
      <c r="AI136" s="20">
        <f t="shared" si="50"/>
        <v>50974</v>
      </c>
      <c r="AJ136" s="20">
        <f t="shared" si="50"/>
        <v>25499</v>
      </c>
      <c r="AK136" s="20">
        <f t="shared" si="50"/>
        <v>89749</v>
      </c>
      <c r="AL136" s="20">
        <f t="shared" si="50"/>
        <v>185129</v>
      </c>
      <c r="AM136" s="20">
        <f t="shared" si="50"/>
        <v>364264</v>
      </c>
      <c r="AN136" s="20">
        <v>399118</v>
      </c>
      <c r="AO136" s="28"/>
      <c r="AP136" s="28"/>
      <c r="AQ136" s="28"/>
      <c r="AR136" s="28"/>
      <c r="AS136" s="28"/>
      <c r="AT136" s="28"/>
      <c r="AU136" s="28"/>
      <c r="AV136" s="28"/>
      <c r="AW136" s="20">
        <f>SUM(AW127:AW135)</f>
        <v>-145408</v>
      </c>
      <c r="AX136" s="20">
        <f>SUM(AX127:AX135)</f>
        <v>351351</v>
      </c>
      <c r="AY136" s="20"/>
      <c r="AZ136" s="20">
        <f t="shared" si="48"/>
        <v>-52180</v>
      </c>
      <c r="BA136" s="20">
        <f t="shared" si="48"/>
        <v>664641</v>
      </c>
    </row>
    <row r="137" spans="1:53" ht="12.9" x14ac:dyDescent="0.5">
      <c r="A137" s="55"/>
      <c r="B137" s="2"/>
      <c r="AD137" s="16"/>
      <c r="AE137" s="16"/>
      <c r="AF137" s="16"/>
      <c r="AG137" s="16"/>
      <c r="AH137" s="16"/>
      <c r="AI137" s="16"/>
      <c r="AJ137" s="16"/>
      <c r="AK137" s="16"/>
      <c r="AL137" s="16"/>
      <c r="AM137" s="16"/>
      <c r="AN137" s="16"/>
      <c r="AO137" s="28"/>
      <c r="AP137" s="28"/>
      <c r="AQ137" s="28"/>
      <c r="AR137" s="28"/>
      <c r="AS137" s="28"/>
      <c r="AT137" s="28"/>
      <c r="AU137" s="28"/>
      <c r="AV137" s="28"/>
      <c r="AW137" s="28"/>
      <c r="AX137" s="28"/>
      <c r="AY137" s="28"/>
      <c r="AZ137" s="28"/>
      <c r="BA137" s="28"/>
    </row>
    <row r="138" spans="1:53" ht="12.9" x14ac:dyDescent="0.5">
      <c r="A138" s="55" t="s">
        <v>78</v>
      </c>
      <c r="B138" s="2"/>
      <c r="C138" s="29"/>
      <c r="D138" s="29"/>
      <c r="E138" s="29"/>
      <c r="F138" s="29"/>
      <c r="G138" s="29"/>
      <c r="H138" s="29"/>
      <c r="I138" s="29"/>
      <c r="J138" s="29"/>
      <c r="K138" s="29"/>
      <c r="L138" s="29"/>
      <c r="M138" s="29"/>
      <c r="N138" s="29"/>
      <c r="O138" s="29"/>
      <c r="P138" s="29"/>
      <c r="Q138" s="29"/>
      <c r="R138" s="29"/>
      <c r="S138" s="29"/>
      <c r="T138" s="16"/>
      <c r="U138" s="16"/>
      <c r="V138" s="16"/>
      <c r="W138" s="16"/>
      <c r="X138" s="16"/>
      <c r="Y138" s="16"/>
      <c r="Z138" s="16"/>
      <c r="AA138" s="16"/>
      <c r="AB138" s="16"/>
      <c r="AC138" s="16"/>
      <c r="AO138" s="28"/>
      <c r="AP138" s="28"/>
      <c r="AQ138" s="28"/>
      <c r="AR138" s="28"/>
      <c r="AS138" s="28"/>
      <c r="AT138" s="28"/>
      <c r="AU138" s="28"/>
      <c r="AV138" s="28"/>
      <c r="AW138" s="28"/>
      <c r="AX138" s="28"/>
      <c r="AY138" s="28"/>
      <c r="AZ138" s="28"/>
      <c r="BA138" s="28"/>
    </row>
    <row r="139" spans="1:53" ht="12.9" x14ac:dyDescent="0.5">
      <c r="A139" s="56" t="s">
        <v>79</v>
      </c>
      <c r="B139" s="56"/>
      <c r="C139" s="57"/>
      <c r="D139" s="57"/>
      <c r="E139" s="57"/>
      <c r="F139" s="57"/>
      <c r="G139" s="58">
        <f t="shared" ref="G139:AM139" si="51">G29/C29-1</f>
        <v>0.17680971850457383</v>
      </c>
      <c r="H139" s="58">
        <f t="shared" si="51"/>
        <v>0.3752093631275788</v>
      </c>
      <c r="I139" s="58">
        <f t="shared" si="51"/>
        <v>0.13245466289470675</v>
      </c>
      <c r="J139" s="58">
        <f t="shared" si="51"/>
        <v>0.16923866149744771</v>
      </c>
      <c r="K139" s="58">
        <f t="shared" si="51"/>
        <v>0.23568619609411456</v>
      </c>
      <c r="L139" s="58">
        <f t="shared" si="51"/>
        <v>0.28235862017749058</v>
      </c>
      <c r="M139" s="58">
        <f t="shared" si="51"/>
        <v>0.34238227946803756</v>
      </c>
      <c r="N139" s="58">
        <f t="shared" si="51"/>
        <v>0.43989556436241761</v>
      </c>
      <c r="O139" s="58">
        <f t="shared" si="51"/>
        <v>0.48934003991585318</v>
      </c>
      <c r="P139" s="58">
        <f t="shared" si="51"/>
        <v>0.45762005142579176</v>
      </c>
      <c r="Q139" s="58">
        <f t="shared" si="51"/>
        <v>0.55579579191945272</v>
      </c>
      <c r="R139" s="58">
        <f t="shared" si="51"/>
        <v>0.52056265703596027</v>
      </c>
      <c r="S139" s="58">
        <f t="shared" si="51"/>
        <v>0.53785419694232806</v>
      </c>
      <c r="T139" s="58">
        <f t="shared" si="51"/>
        <v>0.44604602377471236</v>
      </c>
      <c r="U139" s="58">
        <f t="shared" si="51"/>
        <v>0.28524956268624724</v>
      </c>
      <c r="V139" s="58">
        <f t="shared" si="51"/>
        <v>0.35133341655552131</v>
      </c>
      <c r="W139" s="58">
        <f t="shared" si="51"/>
        <v>0.56666921799748016</v>
      </c>
      <c r="X139" s="58">
        <f t="shared" si="51"/>
        <v>0.37762251211658304</v>
      </c>
      <c r="Y139" s="58">
        <f t="shared" si="51"/>
        <v>0.6584099693635197</v>
      </c>
      <c r="Z139" s="58">
        <f t="shared" si="51"/>
        <v>0.51206017201728926</v>
      </c>
      <c r="AA139" s="58">
        <f t="shared" si="51"/>
        <v>0.37516089329838298</v>
      </c>
      <c r="AB139" s="58">
        <f t="shared" si="51"/>
        <v>0.5693800420817503</v>
      </c>
      <c r="AC139" s="58">
        <f t="shared" si="51"/>
        <v>0.4700257232849252</v>
      </c>
      <c r="AD139" s="58">
        <f t="shared" si="51"/>
        <v>0.61519440764511435</v>
      </c>
      <c r="AE139" s="58">
        <f t="shared" si="51"/>
        <v>0.52389729995627454</v>
      </c>
      <c r="AF139" s="58">
        <f t="shared" si="51"/>
        <v>0.65286474053082055</v>
      </c>
      <c r="AG139" s="58">
        <f t="shared" si="51"/>
        <v>0.38918776382946318</v>
      </c>
      <c r="AH139" s="58">
        <f t="shared" si="51"/>
        <v>0.39205564591424968</v>
      </c>
      <c r="AI139" s="58">
        <f t="shared" si="51"/>
        <v>0.22449246760140551</v>
      </c>
      <c r="AJ139" s="58">
        <f t="shared" si="51"/>
        <v>0.15440044101670658</v>
      </c>
      <c r="AK139" s="58">
        <f t="shared" si="51"/>
        <v>0.14382415473823906</v>
      </c>
      <c r="AL139" s="58">
        <f t="shared" si="51"/>
        <v>6.0269772443854563E-2</v>
      </c>
      <c r="AM139" s="58">
        <f t="shared" si="51"/>
        <v>3.110835126177669E-2</v>
      </c>
      <c r="AN139" s="58">
        <v>-6.1134277621150979E-3</v>
      </c>
      <c r="AO139" s="58"/>
      <c r="AP139" s="58"/>
      <c r="AQ139" s="58">
        <f t="shared" ref="AQ139:AX139" si="52">AQ29/AP29-1</f>
        <v>0.20650976373882957</v>
      </c>
      <c r="AR139" s="58">
        <f t="shared" si="52"/>
        <v>0.32860782611636585</v>
      </c>
      <c r="AS139" s="58">
        <f t="shared" si="52"/>
        <v>0.50790755032109614</v>
      </c>
      <c r="AT139" s="58">
        <f t="shared" si="52"/>
        <v>0.39440283984600311</v>
      </c>
      <c r="AU139" s="58">
        <f t="shared" si="52"/>
        <v>0.52822222924705531</v>
      </c>
      <c r="AV139" s="58">
        <f t="shared" si="52"/>
        <v>0.50947079058369549</v>
      </c>
      <c r="AW139" s="58">
        <f t="shared" si="52"/>
        <v>0.47926851491441758</v>
      </c>
      <c r="AX139" s="58">
        <f t="shared" si="52"/>
        <v>0.14123605819179219</v>
      </c>
      <c r="AY139" s="58"/>
      <c r="AZ139" s="58"/>
      <c r="BA139" s="58">
        <f>BA29/AZ29-1</f>
        <v>9.5546768287093631E-2</v>
      </c>
    </row>
    <row r="140" spans="1:53" ht="12.9" x14ac:dyDescent="0.5">
      <c r="A140" s="56"/>
      <c r="B140" s="56"/>
      <c r="C140" s="57"/>
      <c r="D140" s="57"/>
      <c r="E140" s="57"/>
      <c r="F140" s="57"/>
      <c r="G140" s="57"/>
      <c r="H140" s="57"/>
      <c r="I140" s="57"/>
      <c r="J140" s="57"/>
      <c r="K140" s="59"/>
      <c r="L140" s="59"/>
      <c r="M140" s="59"/>
      <c r="N140" s="59"/>
      <c r="O140" s="59"/>
      <c r="P140" s="59"/>
      <c r="Q140" s="59"/>
      <c r="R140" s="59"/>
      <c r="S140" s="59"/>
      <c r="T140" s="59"/>
      <c r="U140" s="59"/>
      <c r="V140" s="59"/>
      <c r="W140" s="59"/>
      <c r="X140" s="59"/>
      <c r="Y140" s="59"/>
      <c r="Z140" s="59"/>
      <c r="AA140" s="59"/>
      <c r="AB140" s="59"/>
      <c r="AC140" s="59"/>
      <c r="AD140" s="59"/>
      <c r="AE140" s="59"/>
      <c r="AF140" s="59"/>
      <c r="AG140" s="59"/>
      <c r="AH140" s="59"/>
      <c r="AI140" s="59"/>
      <c r="AJ140" s="59"/>
      <c r="AK140" s="59"/>
      <c r="AL140" s="59"/>
      <c r="AM140" s="59"/>
      <c r="AN140" s="59"/>
      <c r="AO140" s="60"/>
      <c r="AP140" s="60"/>
      <c r="AQ140" s="60"/>
      <c r="AR140" s="60"/>
      <c r="AS140" s="60"/>
      <c r="AT140" s="60"/>
      <c r="AU140" s="61"/>
      <c r="AV140" s="61"/>
      <c r="AW140" s="61"/>
      <c r="AX140" s="61"/>
      <c r="AY140" s="60"/>
      <c r="AZ140" s="60"/>
      <c r="BA140" s="60"/>
    </row>
    <row r="141" spans="1:53" ht="12.9" x14ac:dyDescent="0.5">
      <c r="A141" s="56" t="s">
        <v>80</v>
      </c>
      <c r="B141" s="56"/>
      <c r="C141" s="57"/>
      <c r="D141" s="57"/>
      <c r="E141" s="57"/>
      <c r="F141" s="57"/>
      <c r="G141" s="62" t="s">
        <v>81</v>
      </c>
      <c r="H141" s="62" t="s">
        <v>81</v>
      </c>
      <c r="I141" s="62" t="s">
        <v>81</v>
      </c>
      <c r="J141" s="62" t="s">
        <v>81</v>
      </c>
      <c r="K141" s="63" t="s">
        <v>81</v>
      </c>
      <c r="L141" s="58">
        <f t="shared" ref="L141:X141" si="53">L33/H33-1</f>
        <v>1.9071212362593597</v>
      </c>
      <c r="M141" s="58">
        <f t="shared" si="53"/>
        <v>1.9513894863632455</v>
      </c>
      <c r="N141" s="58">
        <f t="shared" si="53"/>
        <v>0.38233813311851783</v>
      </c>
      <c r="O141" s="58">
        <f t="shared" si="53"/>
        <v>0.32817761332099904</v>
      </c>
      <c r="P141" s="58">
        <f t="shared" si="53"/>
        <v>0.87204077159140736</v>
      </c>
      <c r="Q141" s="58">
        <f t="shared" si="53"/>
        <v>1.0696420242537314</v>
      </c>
      <c r="R141" s="58">
        <f t="shared" si="53"/>
        <v>0.97431041181041178</v>
      </c>
      <c r="S141" s="58">
        <f t="shared" si="53"/>
        <v>0.7188666629520255</v>
      </c>
      <c r="T141" s="58">
        <f t="shared" si="53"/>
        <v>0.54128977488949381</v>
      </c>
      <c r="U141" s="58">
        <f t="shared" si="53"/>
        <v>0.84969787455807988</v>
      </c>
      <c r="V141" s="58">
        <f t="shared" si="53"/>
        <v>0.45774197515680726</v>
      </c>
      <c r="W141" s="58">
        <f t="shared" si="53"/>
        <v>-0.84876087978345782</v>
      </c>
      <c r="X141" s="58">
        <f t="shared" si="53"/>
        <v>-7.0016333662538899E-2</v>
      </c>
      <c r="Y141" s="58">
        <f>Y81/U81-1</f>
        <v>0.38071777221050396</v>
      </c>
      <c r="Z141" s="58">
        <f>Z81/V81-1</f>
        <v>0.56492503944182437</v>
      </c>
      <c r="AA141" s="62" t="s">
        <v>82</v>
      </c>
      <c r="AB141" s="58">
        <f t="shared" ref="AB141:AM141" si="54">AB81/X81-1</f>
        <v>2.6742400261408541</v>
      </c>
      <c r="AC141" s="58">
        <f t="shared" si="54"/>
        <v>0.28726009265387153</v>
      </c>
      <c r="AD141" s="58">
        <f t="shared" si="54"/>
        <v>-7.0570222492978285E-3</v>
      </c>
      <c r="AE141" s="58">
        <f t="shared" si="54"/>
        <v>-0.17306463150854823</v>
      </c>
      <c r="AF141" s="58">
        <f t="shared" si="54"/>
        <v>-0.47934812212705169</v>
      </c>
      <c r="AG141" s="58">
        <f t="shared" si="54"/>
        <v>0.40253463921235966</v>
      </c>
      <c r="AH141" s="58">
        <f t="shared" si="54"/>
        <v>0.52514388098599207</v>
      </c>
      <c r="AI141" s="58">
        <f t="shared" si="54"/>
        <v>0.88557081505520552</v>
      </c>
      <c r="AJ141" s="58">
        <f t="shared" si="54"/>
        <v>1.0518730450192697</v>
      </c>
      <c r="AK141" s="58">
        <f t="shared" si="54"/>
        <v>0.45860215053763431</v>
      </c>
      <c r="AL141" s="58">
        <f t="shared" si="54"/>
        <v>1.0012851502842639</v>
      </c>
      <c r="AM141" s="58">
        <f t="shared" si="54"/>
        <v>0.91405310464835332</v>
      </c>
      <c r="AN141" s="58">
        <v>0.97573373707733047</v>
      </c>
      <c r="AO141" s="60"/>
      <c r="AP141" s="60"/>
      <c r="AQ141" s="63" t="s">
        <v>81</v>
      </c>
      <c r="AR141" s="58">
        <f t="shared" ref="AR141:AX141" si="55">AR33/AQ33-1</f>
        <v>2.0968654621605363</v>
      </c>
      <c r="AS141" s="58">
        <f t="shared" si="55"/>
        <v>0.84536972426245782</v>
      </c>
      <c r="AT141" s="58">
        <f t="shared" si="55"/>
        <v>0.62501218214351151</v>
      </c>
      <c r="AU141" s="58">
        <f t="shared" si="55"/>
        <v>0.13726181651565428</v>
      </c>
      <c r="AV141" s="58">
        <f t="shared" si="55"/>
        <v>1.1381944898548952</v>
      </c>
      <c r="AW141" s="58">
        <f t="shared" si="55"/>
        <v>-2.2386292785718243E-2</v>
      </c>
      <c r="AX141" s="58">
        <f t="shared" si="55"/>
        <v>0.8087639914265301</v>
      </c>
      <c r="AY141" s="58"/>
      <c r="AZ141" s="58"/>
      <c r="BA141" s="58">
        <f>BA33/AZ33-1</f>
        <v>0.82919405139307711</v>
      </c>
    </row>
    <row r="142" spans="1:53" ht="12.9" x14ac:dyDescent="0.5">
      <c r="A142" s="2"/>
      <c r="B142" s="2"/>
      <c r="C142" s="29"/>
      <c r="D142" s="29"/>
      <c r="E142" s="29"/>
      <c r="F142" s="29"/>
      <c r="G142" s="29"/>
      <c r="H142" s="29"/>
      <c r="I142" s="29"/>
      <c r="J142" s="29"/>
      <c r="K142" s="29"/>
      <c r="L142" s="29"/>
      <c r="M142" s="29"/>
      <c r="N142" s="29"/>
      <c r="O142" s="29"/>
      <c r="P142" s="29"/>
      <c r="Q142" s="29"/>
      <c r="R142" s="29"/>
      <c r="S142" s="29"/>
      <c r="T142" s="16"/>
      <c r="U142" s="16"/>
      <c r="V142" s="16"/>
      <c r="W142" s="16"/>
      <c r="X142" s="16"/>
      <c r="Y142" s="16"/>
      <c r="Z142" s="28"/>
      <c r="AA142" s="28"/>
      <c r="AB142" s="28"/>
      <c r="AC142" s="28"/>
      <c r="AD142" s="60"/>
      <c r="AE142" s="28"/>
      <c r="AF142" s="28"/>
      <c r="AG142" s="28"/>
      <c r="AH142" s="28"/>
      <c r="AI142" s="28"/>
      <c r="AJ142" s="28"/>
      <c r="AK142" s="28"/>
      <c r="AL142" s="28"/>
      <c r="AM142" s="28"/>
      <c r="AN142" s="28"/>
      <c r="AO142" s="28"/>
      <c r="AP142" s="28"/>
      <c r="AQ142" s="28"/>
      <c r="AR142" s="28"/>
      <c r="AS142" s="28"/>
      <c r="AT142" s="28"/>
      <c r="AU142" s="28"/>
      <c r="AV142" s="28"/>
      <c r="AW142" s="28"/>
      <c r="AX142" s="28"/>
      <c r="AY142" s="28"/>
      <c r="AZ142" s="28"/>
      <c r="BA142" s="28"/>
    </row>
    <row r="143" spans="1:53" ht="27.9" x14ac:dyDescent="0.5">
      <c r="A143" s="64" t="s">
        <v>83</v>
      </c>
      <c r="B143" s="2"/>
      <c r="C143" s="29"/>
      <c r="D143" s="29"/>
      <c r="E143" s="29"/>
      <c r="F143" s="29"/>
      <c r="G143" s="29"/>
      <c r="H143" s="29"/>
      <c r="I143" s="29"/>
      <c r="J143" s="29"/>
      <c r="K143" s="29"/>
      <c r="L143" s="29"/>
      <c r="M143" s="29"/>
      <c r="N143" s="29"/>
      <c r="O143" s="29"/>
      <c r="P143" s="29"/>
      <c r="Q143" s="29"/>
      <c r="R143" s="29"/>
      <c r="S143" s="29"/>
      <c r="T143" s="16"/>
      <c r="U143" s="16"/>
      <c r="V143" s="16"/>
      <c r="W143" s="16"/>
      <c r="X143" s="16"/>
      <c r="Y143" s="16"/>
      <c r="Z143" s="28"/>
      <c r="AA143" s="28"/>
      <c r="AB143" s="28"/>
      <c r="AC143" s="28"/>
      <c r="AD143" s="28"/>
      <c r="AE143" s="28"/>
      <c r="AF143" s="28"/>
      <c r="AG143" s="28"/>
      <c r="AH143" s="28"/>
      <c r="AI143" s="28"/>
      <c r="AJ143" s="28"/>
      <c r="AK143" s="28"/>
      <c r="AL143" s="28"/>
      <c r="AM143" s="28"/>
      <c r="AN143" s="28"/>
      <c r="AO143" s="28"/>
      <c r="AP143" s="28"/>
      <c r="AQ143" s="28"/>
      <c r="AR143" s="28"/>
      <c r="AS143" s="28"/>
      <c r="AT143" s="28"/>
      <c r="AU143" s="28"/>
      <c r="AV143" s="28"/>
      <c r="AW143" s="28"/>
      <c r="AX143" s="28"/>
      <c r="AY143" s="28"/>
      <c r="AZ143" s="28"/>
      <c r="BA143" s="28"/>
    </row>
    <row r="144" spans="1:53" ht="45.9" x14ac:dyDescent="0.5">
      <c r="A144" s="64" t="s">
        <v>84</v>
      </c>
      <c r="B144" s="2"/>
      <c r="C144" s="29"/>
      <c r="D144" s="29"/>
      <c r="E144" s="29"/>
      <c r="F144" s="29"/>
      <c r="G144" s="29"/>
      <c r="H144" s="29"/>
      <c r="I144" s="29"/>
      <c r="J144" s="29"/>
      <c r="K144" s="29"/>
      <c r="L144" s="29"/>
      <c r="M144" s="29"/>
      <c r="N144" s="29"/>
      <c r="O144" s="29"/>
      <c r="P144" s="29"/>
      <c r="Q144" s="29"/>
      <c r="R144" s="29"/>
      <c r="S144" s="29"/>
      <c r="T144" s="16"/>
      <c r="U144" s="16"/>
      <c r="V144" s="16"/>
      <c r="W144" s="16"/>
      <c r="X144" s="16"/>
      <c r="Y144" s="16"/>
      <c r="Z144" s="28"/>
      <c r="AA144" s="28"/>
      <c r="AB144" s="28"/>
      <c r="AC144" s="28"/>
      <c r="AD144" s="28"/>
      <c r="AE144" s="28"/>
      <c r="AF144" s="28"/>
      <c r="AG144" s="28"/>
      <c r="AH144" s="28"/>
      <c r="AI144" s="28"/>
      <c r="AJ144" s="28"/>
      <c r="AK144" s="28"/>
      <c r="AL144" s="28"/>
      <c r="AM144" s="28"/>
      <c r="AN144" s="28"/>
      <c r="AO144" s="28"/>
      <c r="AP144" s="28"/>
      <c r="AQ144" s="28"/>
      <c r="AR144" s="28"/>
      <c r="AS144" s="28"/>
      <c r="AT144" s="28"/>
      <c r="AU144" s="28"/>
      <c r="AV144" s="28"/>
      <c r="AW144" s="28"/>
      <c r="AX144" s="28"/>
      <c r="AY144" s="28"/>
      <c r="AZ144" s="28"/>
      <c r="BA144" s="28"/>
    </row>
    <row r="145" spans="1:53" ht="34.799999999999997" x14ac:dyDescent="0.5">
      <c r="A145" s="65" t="s">
        <v>85</v>
      </c>
      <c r="B145" s="2"/>
      <c r="C145" s="29"/>
      <c r="D145" s="29"/>
      <c r="E145" s="29"/>
      <c r="F145" s="29"/>
      <c r="G145" s="29"/>
      <c r="H145" s="29"/>
      <c r="I145" s="29"/>
      <c r="J145" s="29"/>
      <c r="K145" s="29"/>
      <c r="L145" s="29"/>
      <c r="M145" s="29"/>
      <c r="N145" s="29"/>
      <c r="O145" s="29"/>
      <c r="P145" s="29"/>
      <c r="Q145" s="29"/>
      <c r="R145" s="29"/>
      <c r="S145" s="29"/>
      <c r="T145" s="16"/>
      <c r="U145" s="16"/>
      <c r="V145" s="16"/>
      <c r="W145" s="16"/>
      <c r="X145" s="16"/>
      <c r="Y145" s="16"/>
      <c r="Z145" s="28"/>
      <c r="AA145" s="28"/>
      <c r="AB145" s="28"/>
      <c r="AC145" s="28"/>
      <c r="AD145" s="28"/>
      <c r="AE145" s="28"/>
      <c r="AF145" s="28"/>
      <c r="AG145" s="28"/>
      <c r="AH145" s="28"/>
      <c r="AI145" s="28"/>
      <c r="AJ145" s="28"/>
      <c r="AK145" s="28"/>
      <c r="AL145" s="28"/>
      <c r="AM145" s="28"/>
      <c r="AN145" s="28"/>
      <c r="AO145" s="28"/>
      <c r="AP145" s="28"/>
      <c r="AQ145" s="28"/>
      <c r="AR145" s="28"/>
      <c r="AS145" s="28"/>
      <c r="AT145" s="28"/>
      <c r="AU145" s="28"/>
      <c r="AV145" s="28"/>
      <c r="AW145" s="28"/>
      <c r="AX145" s="28"/>
      <c r="AY145" s="28"/>
      <c r="AZ145" s="28"/>
      <c r="BA145" s="28"/>
    </row>
    <row r="146" spans="1:53" ht="34.799999999999997" x14ac:dyDescent="0.5">
      <c r="A146" s="65" t="s">
        <v>86</v>
      </c>
      <c r="B146" s="2"/>
      <c r="C146" s="29"/>
      <c r="D146" s="29"/>
      <c r="E146" s="29"/>
      <c r="F146" s="29"/>
      <c r="G146" s="29"/>
      <c r="H146" s="29"/>
      <c r="I146" s="29"/>
      <c r="J146" s="29"/>
      <c r="K146" s="29"/>
      <c r="L146" s="29"/>
      <c r="M146" s="29"/>
      <c r="N146" s="29"/>
      <c r="O146" s="29"/>
      <c r="P146" s="29"/>
      <c r="Q146" s="29"/>
      <c r="R146" s="29"/>
      <c r="S146" s="29"/>
      <c r="T146" s="16"/>
      <c r="U146" s="16"/>
      <c r="V146" s="16"/>
      <c r="W146" s="16"/>
      <c r="X146" s="16"/>
      <c r="Y146" s="16"/>
      <c r="Z146" s="28"/>
      <c r="AA146" s="28"/>
      <c r="AB146" s="28"/>
      <c r="AC146" s="28"/>
      <c r="AD146" s="28"/>
      <c r="AE146" s="28"/>
      <c r="AF146" s="28"/>
      <c r="AG146" s="28"/>
      <c r="AH146" s="28"/>
      <c r="AI146" s="28"/>
      <c r="AJ146" s="28"/>
      <c r="AK146" s="28"/>
      <c r="AL146" s="28"/>
      <c r="AM146" s="28"/>
      <c r="AN146" s="28"/>
      <c r="AO146" s="28"/>
      <c r="AP146" s="28"/>
      <c r="AQ146" s="28"/>
      <c r="AR146" s="28"/>
      <c r="AS146" s="28"/>
      <c r="AT146" s="28"/>
      <c r="AU146" s="28"/>
      <c r="AV146" s="28"/>
      <c r="AW146" s="28"/>
      <c r="AX146" s="28"/>
      <c r="AY146" s="28"/>
      <c r="AZ146" s="28"/>
      <c r="BA146" s="28"/>
    </row>
    <row r="147" spans="1:53" ht="52.2" x14ac:dyDescent="0.5">
      <c r="A147" s="65" t="s">
        <v>87</v>
      </c>
      <c r="B147" s="2"/>
      <c r="C147" s="29"/>
      <c r="D147" s="29"/>
      <c r="E147" s="29"/>
      <c r="F147" s="29"/>
      <c r="G147" s="29"/>
      <c r="H147" s="29"/>
      <c r="I147" s="29"/>
      <c r="J147" s="29"/>
      <c r="K147" s="29"/>
      <c r="L147" s="29"/>
      <c r="M147" s="29"/>
      <c r="N147" s="29"/>
      <c r="O147" s="29"/>
      <c r="P147" s="29"/>
      <c r="Q147" s="29"/>
      <c r="R147" s="29"/>
      <c r="S147" s="29"/>
      <c r="T147" s="16"/>
      <c r="U147" s="16"/>
      <c r="V147" s="16"/>
      <c r="W147" s="16"/>
      <c r="X147" s="16"/>
      <c r="Y147" s="16"/>
      <c r="Z147" s="28"/>
      <c r="AA147" s="28"/>
      <c r="AB147" s="28"/>
      <c r="AC147" s="28"/>
      <c r="AD147" s="28"/>
      <c r="AE147" s="28"/>
      <c r="AF147" s="28"/>
      <c r="AG147" s="28"/>
      <c r="AH147" s="28"/>
      <c r="AI147" s="28"/>
      <c r="AJ147" s="28"/>
      <c r="AK147" s="28"/>
      <c r="AL147" s="28"/>
      <c r="AM147" s="28"/>
      <c r="AN147" s="28"/>
      <c r="AO147" s="28"/>
      <c r="AP147" s="28"/>
      <c r="AQ147" s="28"/>
      <c r="AR147" s="28"/>
      <c r="AS147" s="28"/>
      <c r="AT147" s="28"/>
      <c r="AU147" s="28"/>
      <c r="AV147" s="28"/>
      <c r="AW147" s="28"/>
      <c r="AX147" s="28"/>
      <c r="AY147" s="28"/>
      <c r="AZ147" s="28"/>
      <c r="BA147" s="28"/>
    </row>
    <row r="148" spans="1:53" ht="12.9" x14ac:dyDescent="0.5">
      <c r="A148" s="64"/>
      <c r="B148" s="2"/>
      <c r="C148" s="29"/>
      <c r="D148" s="29"/>
      <c r="E148" s="29"/>
      <c r="F148" s="29"/>
      <c r="G148" s="29"/>
      <c r="H148" s="29"/>
      <c r="I148" s="29"/>
      <c r="J148" s="29"/>
      <c r="K148" s="29"/>
      <c r="L148" s="29"/>
      <c r="M148" s="29"/>
      <c r="N148" s="29"/>
      <c r="O148" s="29"/>
      <c r="P148" s="29"/>
      <c r="Q148" s="29"/>
      <c r="R148" s="29"/>
      <c r="S148" s="29"/>
      <c r="T148" s="16"/>
      <c r="U148" s="16"/>
      <c r="V148" s="16"/>
      <c r="W148" s="16"/>
      <c r="X148" s="16"/>
      <c r="Y148" s="16"/>
      <c r="Z148" s="28"/>
      <c r="AA148" s="28"/>
      <c r="AB148" s="28"/>
      <c r="AC148" s="28"/>
      <c r="AD148" s="28"/>
      <c r="AE148" s="28"/>
      <c r="AF148" s="28"/>
      <c r="AG148" s="28"/>
      <c r="AH148" s="28"/>
      <c r="AI148" s="28"/>
      <c r="AJ148" s="28"/>
      <c r="AK148" s="28"/>
      <c r="AL148" s="28"/>
      <c r="AM148" s="28"/>
      <c r="AN148" s="28"/>
      <c r="AO148" s="28"/>
      <c r="AP148" s="28"/>
      <c r="AQ148" s="28"/>
      <c r="AR148" s="28"/>
      <c r="AS148" s="28"/>
      <c r="AT148" s="28"/>
      <c r="AU148" s="28"/>
      <c r="AV148" s="28"/>
      <c r="AW148" s="28"/>
      <c r="AX148" s="28"/>
      <c r="AY148" s="28"/>
      <c r="AZ148" s="28"/>
      <c r="BA148" s="28"/>
    </row>
  </sheetData>
  <mergeCells count="11">
    <mergeCell ref="W4:Z4"/>
    <mergeCell ref="C4:F4"/>
    <mergeCell ref="G4:J4"/>
    <mergeCell ref="K4:N4"/>
    <mergeCell ref="O4:R4"/>
    <mergeCell ref="S4:V4"/>
    <mergeCell ref="AA4:AD4"/>
    <mergeCell ref="AE4:AH4"/>
    <mergeCell ref="AI4:AL4"/>
    <mergeCell ref="AP4:AX4"/>
    <mergeCell ref="AZ4:BA4"/>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61B51-9F3B-4674-A9E8-1F06255ABE3C}">
  <sheetPr>
    <outlinePr summaryBelow="0" summaryRight="0"/>
  </sheetPr>
  <dimension ref="A1:AJ85"/>
  <sheetViews>
    <sheetView showGridLines="0" topLeftCell="A4" zoomScale="67" workbookViewId="0">
      <pane xSplit="1" topLeftCell="L1" activePane="topRight" state="frozen"/>
      <selection pane="topRight" activeCell="L9" sqref="L9"/>
    </sheetView>
  </sheetViews>
  <sheetFormatPr defaultColWidth="12" defaultRowHeight="15.75" customHeight="1" outlineLevelRow="1" x14ac:dyDescent="0.5"/>
  <cols>
    <col min="1" max="1" width="33.62890625" style="3" customWidth="1"/>
    <col min="2" max="2" width="3.9453125" style="3" customWidth="1"/>
    <col min="3" max="24" width="10.578125" style="3" customWidth="1"/>
    <col min="25" max="25" width="7.89453125" style="3" customWidth="1"/>
    <col min="26" max="31" width="10.578125" style="3" customWidth="1"/>
    <col min="32" max="16384" width="12" style="3"/>
  </cols>
  <sheetData>
    <row r="1" spans="1:31" ht="12.9" x14ac:dyDescent="0.5">
      <c r="A1" s="1" t="s">
        <v>0</v>
      </c>
      <c r="B1" s="2"/>
      <c r="C1" s="2"/>
      <c r="D1" s="2"/>
      <c r="E1" s="2"/>
      <c r="F1" s="2"/>
      <c r="G1" s="2"/>
      <c r="H1" s="2"/>
      <c r="I1" s="2"/>
      <c r="J1" s="2"/>
      <c r="K1" s="2"/>
      <c r="L1" s="2"/>
      <c r="M1" s="2"/>
      <c r="N1" s="2"/>
      <c r="O1" s="2"/>
      <c r="P1" s="2"/>
      <c r="Q1" s="2"/>
      <c r="R1" s="2"/>
      <c r="S1" s="2"/>
      <c r="T1" s="2"/>
      <c r="U1" s="2"/>
      <c r="V1" s="2"/>
      <c r="W1" s="2"/>
      <c r="X1" s="2"/>
      <c r="Y1" s="2"/>
      <c r="Z1" s="2"/>
      <c r="AA1" s="2"/>
      <c r="AB1" s="2"/>
      <c r="AC1" s="2"/>
      <c r="AD1" s="2"/>
      <c r="AE1" s="2"/>
    </row>
    <row r="2" spans="1:31" ht="12.9" x14ac:dyDescent="0.5">
      <c r="A2" s="4" t="s">
        <v>149</v>
      </c>
      <c r="B2" s="2"/>
      <c r="I2" s="2"/>
      <c r="J2" s="2"/>
      <c r="K2" s="2"/>
      <c r="L2" s="2"/>
      <c r="M2" s="2"/>
      <c r="N2" s="2"/>
      <c r="O2" s="2"/>
      <c r="P2" s="2"/>
      <c r="Q2" s="2"/>
      <c r="R2" s="2"/>
      <c r="S2" s="2"/>
      <c r="T2" s="2"/>
      <c r="U2" s="2"/>
      <c r="V2" s="2"/>
      <c r="W2" s="2"/>
      <c r="X2" s="2"/>
      <c r="Y2" s="2"/>
    </row>
    <row r="3" spans="1:31" ht="12.9" x14ac:dyDescent="0.5">
      <c r="A3" s="4" t="s">
        <v>2</v>
      </c>
      <c r="B3" s="2"/>
      <c r="E3" s="1"/>
      <c r="F3" s="1"/>
      <c r="G3" s="1"/>
      <c r="H3" s="1"/>
      <c r="I3" s="1"/>
      <c r="J3" s="1"/>
      <c r="K3" s="1"/>
      <c r="L3" s="1"/>
      <c r="M3" s="1"/>
      <c r="N3" s="1"/>
      <c r="O3" s="1"/>
      <c r="P3" s="1"/>
      <c r="Q3" s="1"/>
      <c r="R3" s="1"/>
      <c r="S3" s="1"/>
      <c r="T3" s="1"/>
      <c r="U3" s="1"/>
      <c r="V3" s="1"/>
      <c r="W3" s="1"/>
      <c r="X3" s="1"/>
      <c r="Y3" s="1"/>
      <c r="Z3" s="1"/>
      <c r="AA3" s="1"/>
      <c r="AB3" s="1"/>
      <c r="AC3" s="1"/>
      <c r="AD3" s="1"/>
      <c r="AE3" s="1"/>
    </row>
    <row r="4" spans="1:31" ht="25.8" collapsed="1" x14ac:dyDescent="0.5">
      <c r="A4" s="4" t="s">
        <v>89</v>
      </c>
      <c r="B4" s="2"/>
      <c r="C4" s="5"/>
      <c r="D4" s="364" t="s">
        <v>4</v>
      </c>
      <c r="E4" s="365"/>
      <c r="F4" s="365"/>
      <c r="G4" s="5"/>
      <c r="H4" s="5" t="s">
        <v>4</v>
      </c>
      <c r="I4" s="5"/>
      <c r="J4" s="5"/>
      <c r="K4" s="366" t="s">
        <v>4</v>
      </c>
      <c r="L4" s="365"/>
      <c r="M4" s="365"/>
      <c r="N4" s="365"/>
      <c r="O4" s="366" t="s">
        <v>4</v>
      </c>
      <c r="P4" s="365"/>
      <c r="Q4" s="365"/>
      <c r="R4" s="365"/>
      <c r="S4" s="366" t="s">
        <v>4</v>
      </c>
      <c r="T4" s="365"/>
      <c r="U4" s="365"/>
      <c r="V4" s="365"/>
      <c r="W4" s="6" t="s">
        <v>4</v>
      </c>
      <c r="X4" s="249"/>
      <c r="Y4" s="11"/>
      <c r="Z4" s="364" t="s">
        <v>5</v>
      </c>
      <c r="AA4" s="365"/>
      <c r="AB4" s="365"/>
      <c r="AC4" s="365"/>
      <c r="AD4" s="365"/>
      <c r="AE4" s="365"/>
    </row>
    <row r="5" spans="1:31" ht="12.9" hidden="1" outlineLevel="1" x14ac:dyDescent="0.5">
      <c r="A5" s="7"/>
      <c r="B5" s="7"/>
      <c r="C5" s="93">
        <v>43555</v>
      </c>
      <c r="D5" s="93">
        <v>43646</v>
      </c>
      <c r="E5" s="93">
        <v>43738</v>
      </c>
      <c r="F5" s="93">
        <v>43830</v>
      </c>
      <c r="G5" s="93">
        <v>43921</v>
      </c>
      <c r="H5" s="93">
        <v>44012</v>
      </c>
      <c r="I5" s="93">
        <v>44104</v>
      </c>
      <c r="J5" s="93">
        <v>44196</v>
      </c>
      <c r="K5" s="93">
        <v>44286</v>
      </c>
      <c r="L5" s="93">
        <v>44377</v>
      </c>
      <c r="M5" s="93">
        <v>44469</v>
      </c>
      <c r="N5" s="93">
        <v>44561</v>
      </c>
      <c r="O5" s="10">
        <v>44651</v>
      </c>
      <c r="P5" s="10">
        <v>44742</v>
      </c>
      <c r="Q5" s="10">
        <v>44834</v>
      </c>
      <c r="R5" s="10">
        <v>44926</v>
      </c>
      <c r="S5" s="10">
        <v>45016</v>
      </c>
      <c r="T5" s="10">
        <v>45107</v>
      </c>
      <c r="U5" s="10">
        <v>45199</v>
      </c>
      <c r="V5" s="10">
        <v>45291</v>
      </c>
      <c r="W5" s="10">
        <v>45382</v>
      </c>
      <c r="X5" s="10"/>
      <c r="Y5" s="10"/>
      <c r="Z5" s="93">
        <v>43465</v>
      </c>
      <c r="AA5" s="93">
        <v>43830</v>
      </c>
      <c r="AB5" s="93">
        <v>44196</v>
      </c>
      <c r="AC5" s="93">
        <v>44561</v>
      </c>
      <c r="AD5" s="93">
        <v>44926</v>
      </c>
      <c r="AE5" s="93">
        <v>45291</v>
      </c>
    </row>
    <row r="6" spans="1:31" ht="12.9" x14ac:dyDescent="0.5">
      <c r="A6" s="7"/>
      <c r="B6" s="7"/>
      <c r="C6" s="11" t="s">
        <v>150</v>
      </c>
      <c r="D6" s="11" t="s">
        <v>8</v>
      </c>
      <c r="E6" s="11" t="s">
        <v>9</v>
      </c>
      <c r="F6" s="11" t="s">
        <v>10</v>
      </c>
      <c r="G6" s="11" t="s">
        <v>150</v>
      </c>
      <c r="H6" s="11" t="s">
        <v>8</v>
      </c>
      <c r="I6" s="11" t="s">
        <v>9</v>
      </c>
      <c r="J6" s="11" t="s">
        <v>10</v>
      </c>
      <c r="K6" s="11" t="s">
        <v>7</v>
      </c>
      <c r="L6" s="11" t="s">
        <v>8</v>
      </c>
      <c r="M6" s="11" t="s">
        <v>9</v>
      </c>
      <c r="N6" s="11" t="s">
        <v>10</v>
      </c>
      <c r="O6" s="11" t="s">
        <v>7</v>
      </c>
      <c r="P6" s="11" t="s">
        <v>8</v>
      </c>
      <c r="Q6" s="11" t="s">
        <v>9</v>
      </c>
      <c r="R6" s="11" t="s">
        <v>10</v>
      </c>
      <c r="S6" s="11" t="s">
        <v>7</v>
      </c>
      <c r="T6" s="11" t="s">
        <v>8</v>
      </c>
      <c r="U6" s="11" t="s">
        <v>9</v>
      </c>
      <c r="V6" s="11" t="s">
        <v>10</v>
      </c>
      <c r="W6" s="11" t="s">
        <v>7</v>
      </c>
      <c r="X6" s="11" t="s">
        <v>8</v>
      </c>
      <c r="Y6" s="11"/>
      <c r="Z6" s="11" t="s">
        <v>10</v>
      </c>
      <c r="AA6" s="11" t="s">
        <v>10</v>
      </c>
      <c r="AB6" s="11" t="s">
        <v>10</v>
      </c>
      <c r="AC6" s="11" t="s">
        <v>10</v>
      </c>
      <c r="AD6" s="11" t="s">
        <v>10</v>
      </c>
      <c r="AE6" s="11" t="s">
        <v>10</v>
      </c>
    </row>
    <row r="7" spans="1:31" ht="12.9" x14ac:dyDescent="0.5">
      <c r="A7" s="7" t="s">
        <v>151</v>
      </c>
      <c r="B7" s="7"/>
      <c r="C7" s="1">
        <v>2019</v>
      </c>
      <c r="D7" s="1">
        <v>2019</v>
      </c>
      <c r="E7" s="1">
        <v>2019</v>
      </c>
      <c r="F7" s="1">
        <v>2019</v>
      </c>
      <c r="G7" s="1">
        <v>2020</v>
      </c>
      <c r="H7" s="1">
        <v>2020</v>
      </c>
      <c r="I7" s="1">
        <v>2020</v>
      </c>
      <c r="J7" s="1">
        <v>2020</v>
      </c>
      <c r="K7" s="1">
        <v>2021</v>
      </c>
      <c r="L7" s="1">
        <v>2021</v>
      </c>
      <c r="M7" s="1">
        <v>2021</v>
      </c>
      <c r="N7" s="1">
        <v>2021</v>
      </c>
      <c r="O7" s="1">
        <v>2022</v>
      </c>
      <c r="P7" s="1">
        <v>2022</v>
      </c>
      <c r="Q7" s="1">
        <v>2022</v>
      </c>
      <c r="R7" s="1">
        <v>2022</v>
      </c>
      <c r="S7" s="1">
        <v>2023</v>
      </c>
      <c r="T7" s="1">
        <v>2023</v>
      </c>
      <c r="U7" s="1">
        <v>2023</v>
      </c>
      <c r="V7" s="1">
        <v>2023</v>
      </c>
      <c r="W7" s="1">
        <v>2024</v>
      </c>
      <c r="X7" s="1">
        <v>2024</v>
      </c>
      <c r="Y7" s="1"/>
      <c r="Z7" s="1">
        <v>2018</v>
      </c>
      <c r="AA7" s="1">
        <v>2019</v>
      </c>
      <c r="AB7" s="1">
        <v>2020</v>
      </c>
      <c r="AC7" s="1">
        <v>2021</v>
      </c>
      <c r="AD7" s="1">
        <v>2022</v>
      </c>
      <c r="AE7" s="1">
        <v>2023</v>
      </c>
    </row>
    <row r="8" spans="1:31" ht="12.9" x14ac:dyDescent="0.5">
      <c r="A8" s="2" t="s">
        <v>91</v>
      </c>
      <c r="B8" s="7"/>
      <c r="C8" s="29">
        <f>1400026-D8</f>
        <v>641482</v>
      </c>
      <c r="D8" s="29">
        <v>758544</v>
      </c>
      <c r="E8" s="29">
        <v>797406</v>
      </c>
      <c r="F8" s="29">
        <v>810777</v>
      </c>
      <c r="G8" s="29">
        <f>1359197-H8</f>
        <v>730282</v>
      </c>
      <c r="H8" s="29">
        <v>628915</v>
      </c>
      <c r="I8" s="29">
        <v>844573</v>
      </c>
      <c r="J8" s="29">
        <f>AB8-SUM(G8:I8)</f>
        <v>857461</v>
      </c>
      <c r="K8" s="29">
        <v>867774</v>
      </c>
      <c r="L8" s="29">
        <v>1116522</v>
      </c>
      <c r="M8" s="29">
        <v>1193848</v>
      </c>
      <c r="N8" s="29">
        <v>1205157</v>
      </c>
      <c r="O8" s="94">
        <v>1123728</v>
      </c>
      <c r="P8" s="29">
        <v>1359639</v>
      </c>
      <c r="Q8" s="29">
        <v>1399431</v>
      </c>
      <c r="R8" s="29">
        <v>1352571</v>
      </c>
      <c r="S8" s="94">
        <v>1288042</v>
      </c>
      <c r="T8" s="29">
        <v>1503913</v>
      </c>
      <c r="U8" s="29">
        <v>1537885</v>
      </c>
      <c r="V8" s="29">
        <v>1487284</v>
      </c>
      <c r="W8" s="29">
        <v>1401989</v>
      </c>
      <c r="X8" s="29">
        <v>1614055</v>
      </c>
      <c r="Y8" s="29"/>
      <c r="Z8" s="29">
        <v>2428736</v>
      </c>
      <c r="AA8" s="29">
        <v>3008209</v>
      </c>
      <c r="AB8" s="29">
        <v>3061231</v>
      </c>
      <c r="AC8" s="29">
        <v>4383302</v>
      </c>
      <c r="AD8" s="29">
        <v>5235369</v>
      </c>
      <c r="AE8" s="29">
        <v>5817125</v>
      </c>
    </row>
    <row r="9" spans="1:31" ht="12.9" x14ac:dyDescent="0.5">
      <c r="A9" s="2" t="s">
        <v>92</v>
      </c>
      <c r="B9" s="7"/>
      <c r="C9" s="29">
        <f>165284-D9</f>
        <v>75732</v>
      </c>
      <c r="D9" s="29">
        <v>89552</v>
      </c>
      <c r="E9" s="29">
        <v>99315</v>
      </c>
      <c r="F9" s="29">
        <v>104675</v>
      </c>
      <c r="G9" s="29">
        <f>177629-H9</f>
        <v>102510</v>
      </c>
      <c r="H9" s="29">
        <v>75119</v>
      </c>
      <c r="I9" s="29">
        <v>93412</v>
      </c>
      <c r="J9" s="29">
        <f>AB9-SUM(G9:I9)</f>
        <v>105266</v>
      </c>
      <c r="K9" s="29">
        <v>121092</v>
      </c>
      <c r="L9" s="29">
        <v>151240</v>
      </c>
      <c r="M9" s="29">
        <v>162341</v>
      </c>
      <c r="N9" s="29">
        <v>229694</v>
      </c>
      <c r="O9" s="94">
        <v>217768</v>
      </c>
      <c r="P9" s="29">
        <v>213772.5</v>
      </c>
      <c r="Q9" s="29">
        <v>226736.5</v>
      </c>
      <c r="R9" s="29">
        <v>236074</v>
      </c>
      <c r="S9" s="94">
        <v>229883</v>
      </c>
      <c r="T9" s="29">
        <v>262877.5</v>
      </c>
      <c r="U9" s="29">
        <v>273156</v>
      </c>
      <c r="V9" s="29">
        <v>293164</v>
      </c>
      <c r="W9" s="29">
        <v>296218</v>
      </c>
      <c r="X9" s="29">
        <v>322617</v>
      </c>
      <c r="Y9" s="29"/>
      <c r="Z9" s="29">
        <v>222279</v>
      </c>
      <c r="AA9" s="29">
        <v>369274</v>
      </c>
      <c r="AB9" s="29">
        <v>376307</v>
      </c>
      <c r="AC9" s="29">
        <v>664367</v>
      </c>
      <c r="AD9" s="29">
        <v>894350</v>
      </c>
      <c r="AE9" s="29">
        <v>1059081</v>
      </c>
    </row>
    <row r="10" spans="1:31" ht="12.9" x14ac:dyDescent="0.5">
      <c r="A10" s="2" t="s">
        <v>93</v>
      </c>
      <c r="B10" s="7"/>
      <c r="C10" s="29">
        <f>40472-D10</f>
        <v>18212</v>
      </c>
      <c r="D10" s="29">
        <v>22260</v>
      </c>
      <c r="E10" s="29">
        <v>21766</v>
      </c>
      <c r="F10" s="29">
        <v>22267</v>
      </c>
      <c r="G10" s="29">
        <f>39997-H10</f>
        <v>20675</v>
      </c>
      <c r="H10" s="29">
        <v>19322</v>
      </c>
      <c r="I10" s="29">
        <v>27294</v>
      </c>
      <c r="J10" s="29">
        <f>AB10-SUM(G10:I10)</f>
        <v>24363</v>
      </c>
      <c r="K10" s="29">
        <v>28788</v>
      </c>
      <c r="L10" s="29">
        <v>43726</v>
      </c>
      <c r="M10" s="29">
        <v>37255</v>
      </c>
      <c r="N10" s="29">
        <v>35910</v>
      </c>
      <c r="O10" s="94">
        <v>37326</v>
      </c>
      <c r="P10" s="29">
        <v>48051</v>
      </c>
      <c r="Q10" s="29">
        <v>43388</v>
      </c>
      <c r="R10" s="29">
        <v>35653</v>
      </c>
      <c r="S10" s="94">
        <v>37451</v>
      </c>
      <c r="T10" s="29">
        <v>44922</v>
      </c>
      <c r="U10" s="29">
        <v>42341</v>
      </c>
      <c r="V10" s="29">
        <v>32464</v>
      </c>
      <c r="W10" s="29">
        <v>31830</v>
      </c>
      <c r="X10" s="29">
        <v>42818</v>
      </c>
      <c r="Y10" s="29"/>
      <c r="Z10" s="29">
        <v>68503</v>
      </c>
      <c r="AA10" s="29">
        <v>84505</v>
      </c>
      <c r="AB10" s="29">
        <v>91654</v>
      </c>
      <c r="AC10" s="29">
        <v>145679</v>
      </c>
      <c r="AD10" s="29">
        <v>164418</v>
      </c>
      <c r="AE10" s="29">
        <v>157178</v>
      </c>
    </row>
    <row r="11" spans="1:31" ht="12.9" x14ac:dyDescent="0.5">
      <c r="A11" s="2" t="s">
        <v>94</v>
      </c>
      <c r="B11" s="7"/>
      <c r="C11" s="28"/>
      <c r="D11" s="28"/>
      <c r="E11" s="28"/>
      <c r="F11" s="28"/>
      <c r="G11" s="28"/>
      <c r="H11" s="28"/>
      <c r="I11" s="1"/>
      <c r="J11" s="1"/>
      <c r="K11" s="1"/>
      <c r="L11" s="1"/>
      <c r="M11" s="1"/>
      <c r="N11" s="29"/>
      <c r="O11" s="94"/>
      <c r="P11" s="29"/>
      <c r="Q11" s="29"/>
      <c r="R11" s="29"/>
      <c r="S11" s="94"/>
      <c r="T11" s="29"/>
      <c r="U11" s="29"/>
      <c r="V11" s="29"/>
      <c r="W11" s="29"/>
      <c r="X11" s="29"/>
      <c r="Y11" s="29"/>
      <c r="Z11" s="28"/>
      <c r="AA11" s="28"/>
      <c r="AB11" s="28"/>
      <c r="AC11" s="28"/>
      <c r="AD11" s="28"/>
      <c r="AE11" s="28"/>
    </row>
    <row r="12" spans="1:31" ht="12.9" x14ac:dyDescent="0.5">
      <c r="A12" s="2" t="s">
        <v>90</v>
      </c>
      <c r="B12" s="7"/>
      <c r="C12" s="32">
        <f t="shared" ref="C12:N12" si="0">SUM(C8:C11)</f>
        <v>735426</v>
      </c>
      <c r="D12" s="32">
        <f t="shared" si="0"/>
        <v>870356</v>
      </c>
      <c r="E12" s="32">
        <f t="shared" si="0"/>
        <v>918487</v>
      </c>
      <c r="F12" s="32">
        <f t="shared" si="0"/>
        <v>937719</v>
      </c>
      <c r="G12" s="32">
        <f t="shared" si="0"/>
        <v>853467</v>
      </c>
      <c r="H12" s="32">
        <f t="shared" si="0"/>
        <v>723356</v>
      </c>
      <c r="I12" s="32">
        <f t="shared" si="0"/>
        <v>965279</v>
      </c>
      <c r="J12" s="32">
        <f t="shared" si="0"/>
        <v>987090</v>
      </c>
      <c r="K12" s="32">
        <f t="shared" si="0"/>
        <v>1017654</v>
      </c>
      <c r="L12" s="32">
        <f t="shared" si="0"/>
        <v>1311488</v>
      </c>
      <c r="M12" s="32">
        <f t="shared" si="0"/>
        <v>1393444</v>
      </c>
      <c r="N12" s="32">
        <f t="shared" si="0"/>
        <v>1470761</v>
      </c>
      <c r="O12" s="44">
        <v>1378822</v>
      </c>
      <c r="P12" s="32">
        <v>1621462.5</v>
      </c>
      <c r="Q12" s="32">
        <v>1669555.5</v>
      </c>
      <c r="R12" s="32">
        <f>SUM(R8:R11)</f>
        <v>1624298</v>
      </c>
      <c r="S12" s="44">
        <v>1555376</v>
      </c>
      <c r="T12" s="32">
        <v>1811712.5</v>
      </c>
      <c r="U12" s="32">
        <v>1853382</v>
      </c>
      <c r="V12" s="32">
        <v>1812912</v>
      </c>
      <c r="W12" s="32">
        <f>SUM(W8:W11)</f>
        <v>1730037</v>
      </c>
      <c r="X12" s="32">
        <v>1979490</v>
      </c>
      <c r="Y12" s="29"/>
      <c r="Z12" s="32">
        <f>SUM(Z8:Z11)</f>
        <v>2719518</v>
      </c>
      <c r="AA12" s="32">
        <f>SUM(AA8:AA11)</f>
        <v>3461988</v>
      </c>
      <c r="AB12" s="32">
        <f>SUM(AB8:AB11)</f>
        <v>3529192</v>
      </c>
      <c r="AC12" s="32">
        <f>SUM(AC8:AC11)</f>
        <v>5193348</v>
      </c>
      <c r="AD12" s="32">
        <v>6294137</v>
      </c>
      <c r="AE12" s="32">
        <v>7033384</v>
      </c>
    </row>
    <row r="13" spans="1:31" ht="12.9" x14ac:dyDescent="0.5">
      <c r="A13" s="2" t="s">
        <v>96</v>
      </c>
      <c r="B13" s="7"/>
      <c r="C13" s="29">
        <v>434923</v>
      </c>
      <c r="D13" s="29">
        <v>523148</v>
      </c>
      <c r="E13" s="29">
        <v>554603</v>
      </c>
      <c r="F13" s="29">
        <v>558887</v>
      </c>
      <c r="G13" s="29">
        <v>497698</v>
      </c>
      <c r="H13" s="29">
        <v>407656</v>
      </c>
      <c r="I13" s="29">
        <v>555948</v>
      </c>
      <c r="J13" s="29">
        <v>560059</v>
      </c>
      <c r="K13" s="29">
        <v>549638</v>
      </c>
      <c r="L13" s="29">
        <v>726351</v>
      </c>
      <c r="M13" s="29">
        <v>787219</v>
      </c>
      <c r="N13" s="29">
        <v>813469</v>
      </c>
      <c r="O13" s="29">
        <f t="shared" ref="O13:U13" si="1">O12-O14</f>
        <v>763741.5</v>
      </c>
      <c r="P13" s="29">
        <f t="shared" si="1"/>
        <v>940847.5</v>
      </c>
      <c r="Q13" s="29">
        <f t="shared" si="1"/>
        <v>961452.5</v>
      </c>
      <c r="R13" s="29">
        <f t="shared" si="1"/>
        <v>921195</v>
      </c>
      <c r="S13" s="29">
        <f t="shared" si="1"/>
        <v>863815</v>
      </c>
      <c r="T13" s="29">
        <f t="shared" si="1"/>
        <v>1007679.5</v>
      </c>
      <c r="U13" s="29">
        <f t="shared" si="1"/>
        <v>1048044.5</v>
      </c>
      <c r="V13" s="29">
        <v>985195</v>
      </c>
      <c r="W13" s="29">
        <v>909765</v>
      </c>
      <c r="X13" s="29">
        <v>1056906</v>
      </c>
      <c r="Y13" s="29"/>
      <c r="Z13" s="29">
        <v>1647022</v>
      </c>
      <c r="AA13" s="29">
        <v>2071561</v>
      </c>
      <c r="AB13" s="29">
        <v>2021361</v>
      </c>
      <c r="AC13" s="29">
        <f>AC12-AC14</f>
        <v>2876677</v>
      </c>
      <c r="AD13" s="29">
        <f>AD12-AD14</f>
        <v>3587236</v>
      </c>
      <c r="AE13" s="29">
        <v>3904730</v>
      </c>
    </row>
    <row r="14" spans="1:31" ht="12.9" x14ac:dyDescent="0.5">
      <c r="A14" s="7" t="s">
        <v>152</v>
      </c>
      <c r="B14" s="7"/>
      <c r="C14" s="95">
        <f t="shared" ref="C14:N14" si="2">C12-C13</f>
        <v>300503</v>
      </c>
      <c r="D14" s="95">
        <f t="shared" si="2"/>
        <v>347208</v>
      </c>
      <c r="E14" s="95">
        <f t="shared" si="2"/>
        <v>363884</v>
      </c>
      <c r="F14" s="95">
        <f t="shared" si="2"/>
        <v>378832</v>
      </c>
      <c r="G14" s="95">
        <f t="shared" si="2"/>
        <v>355769</v>
      </c>
      <c r="H14" s="95">
        <f t="shared" si="2"/>
        <v>315700</v>
      </c>
      <c r="I14" s="95">
        <f t="shared" si="2"/>
        <v>409331</v>
      </c>
      <c r="J14" s="95">
        <f t="shared" si="2"/>
        <v>427031</v>
      </c>
      <c r="K14" s="95">
        <f t="shared" si="2"/>
        <v>468016</v>
      </c>
      <c r="L14" s="95">
        <f t="shared" si="2"/>
        <v>585137</v>
      </c>
      <c r="M14" s="95">
        <f t="shared" si="2"/>
        <v>606225</v>
      </c>
      <c r="N14" s="95">
        <f t="shared" si="2"/>
        <v>657292</v>
      </c>
      <c r="O14" s="95">
        <v>615080.5</v>
      </c>
      <c r="P14" s="95">
        <v>680615</v>
      </c>
      <c r="Q14" s="95">
        <v>708103</v>
      </c>
      <c r="R14" s="95">
        <v>703103</v>
      </c>
      <c r="S14" s="95">
        <v>691561</v>
      </c>
      <c r="T14" s="95">
        <v>804033</v>
      </c>
      <c r="U14" s="95">
        <v>805337.5</v>
      </c>
      <c r="V14" s="95">
        <f>V12-V13</f>
        <v>827717</v>
      </c>
      <c r="W14" s="95">
        <f>W12-W13</f>
        <v>820272</v>
      </c>
      <c r="X14" s="95">
        <v>922584</v>
      </c>
      <c r="Y14" s="29"/>
      <c r="Z14" s="95">
        <v>1072496</v>
      </c>
      <c r="AA14" s="95">
        <f>AA12-AA13</f>
        <v>1390427</v>
      </c>
      <c r="AB14" s="95">
        <f>AB12-AB13</f>
        <v>1507831</v>
      </c>
      <c r="AC14" s="95">
        <v>2316671</v>
      </c>
      <c r="AD14" s="95">
        <v>2706901</v>
      </c>
      <c r="AE14" s="95">
        <f>AE12-AE13</f>
        <v>3128654</v>
      </c>
    </row>
    <row r="15" spans="1:31" ht="12.9" x14ac:dyDescent="0.5">
      <c r="A15" s="2"/>
      <c r="B15" s="2"/>
      <c r="C15" s="96"/>
      <c r="D15" s="96"/>
      <c r="E15" s="70"/>
      <c r="F15" s="70"/>
      <c r="G15" s="70"/>
      <c r="H15" s="70"/>
      <c r="I15" s="2"/>
      <c r="J15" s="2"/>
      <c r="K15" s="2"/>
      <c r="L15" s="2"/>
      <c r="M15" s="2"/>
      <c r="N15" s="2"/>
      <c r="R15" s="78"/>
      <c r="S15" s="78"/>
      <c r="T15" s="78"/>
      <c r="U15" s="78"/>
      <c r="V15" s="78"/>
      <c r="W15" s="78"/>
      <c r="X15" s="78"/>
      <c r="Y15" s="29"/>
      <c r="Z15" s="96"/>
      <c r="AA15" s="97"/>
      <c r="AB15" s="97"/>
      <c r="AC15" s="97"/>
      <c r="AD15" s="97"/>
      <c r="AE15" s="97"/>
    </row>
    <row r="16" spans="1:31" ht="12.9" x14ac:dyDescent="0.5">
      <c r="A16" s="7" t="s">
        <v>153</v>
      </c>
      <c r="B16" s="2"/>
      <c r="C16" s="96"/>
      <c r="D16" s="96"/>
      <c r="E16" s="70"/>
      <c r="F16" s="70"/>
      <c r="G16" s="70"/>
      <c r="H16" s="70"/>
      <c r="I16" s="1"/>
      <c r="J16" s="1"/>
      <c r="K16" s="1"/>
      <c r="L16" s="1"/>
      <c r="M16" s="1"/>
      <c r="N16" s="1"/>
      <c r="O16" s="1"/>
      <c r="P16" s="1"/>
      <c r="Q16" s="1"/>
      <c r="R16" s="1"/>
      <c r="S16" s="1"/>
      <c r="T16" s="1"/>
      <c r="U16" s="98"/>
      <c r="V16" s="98"/>
      <c r="W16" s="98"/>
      <c r="X16" s="98"/>
      <c r="Y16" s="1"/>
      <c r="Z16" s="96"/>
      <c r="AA16" s="96"/>
      <c r="AB16" s="96"/>
      <c r="AC16" s="96"/>
      <c r="AD16" s="96"/>
      <c r="AE16" s="96"/>
    </row>
    <row r="17" spans="1:36" ht="12.9" x14ac:dyDescent="0.5">
      <c r="A17" s="2" t="s">
        <v>91</v>
      </c>
      <c r="B17" s="2"/>
      <c r="C17" s="29">
        <f>32246-D17</f>
        <v>15280</v>
      </c>
      <c r="D17" s="29">
        <v>16966</v>
      </c>
      <c r="E17" s="29">
        <v>19216</v>
      </c>
      <c r="F17" s="29">
        <f>AA17-SUM(C17:E17)</f>
        <v>21403</v>
      </c>
      <c r="G17" s="29">
        <f>81476-H17</f>
        <v>27819</v>
      </c>
      <c r="H17" s="29">
        <v>53657</v>
      </c>
      <c r="I17" s="29">
        <v>80721</v>
      </c>
      <c r="J17" s="29">
        <f>AB17-SUM(G17:I17)</f>
        <v>71550</v>
      </c>
      <c r="K17" s="29">
        <v>91959</v>
      </c>
      <c r="L17" s="29">
        <v>110950</v>
      </c>
      <c r="M17" s="29">
        <v>103192</v>
      </c>
      <c r="N17" s="29">
        <v>103743</v>
      </c>
      <c r="O17" s="94">
        <v>109241</v>
      </c>
      <c r="P17" s="29">
        <v>116068</v>
      </c>
      <c r="Q17" s="29">
        <v>118459</v>
      </c>
      <c r="R17" s="29">
        <v>122403</v>
      </c>
      <c r="S17" s="94">
        <v>134663</v>
      </c>
      <c r="T17" s="29">
        <v>133741</v>
      </c>
      <c r="U17" s="29">
        <v>120783</v>
      </c>
      <c r="V17" s="29">
        <v>108990</v>
      </c>
      <c r="W17" s="29">
        <v>109220</v>
      </c>
      <c r="X17" s="29">
        <v>98912</v>
      </c>
      <c r="Y17" s="29"/>
      <c r="Z17" s="29">
        <v>42715</v>
      </c>
      <c r="AA17" s="29">
        <v>72865</v>
      </c>
      <c r="AB17" s="29">
        <v>233747</v>
      </c>
      <c r="AC17" s="29">
        <v>409844</v>
      </c>
      <c r="AD17" s="29">
        <v>466171</v>
      </c>
      <c r="AE17" s="29">
        <v>498176</v>
      </c>
    </row>
    <row r="18" spans="1:36" ht="12.9" x14ac:dyDescent="0.5">
      <c r="A18" s="2" t="s">
        <v>92</v>
      </c>
      <c r="B18" s="2"/>
      <c r="C18" s="29">
        <f>215036-D18</f>
        <v>96594</v>
      </c>
      <c r="D18" s="29">
        <v>118442</v>
      </c>
      <c r="E18" s="29">
        <v>139539</v>
      </c>
      <c r="F18" s="29">
        <f>AA18-SUM(C18:E18)</f>
        <v>161694</v>
      </c>
      <c r="G18" s="29">
        <f>464881-H18</f>
        <v>193725</v>
      </c>
      <c r="H18" s="29">
        <v>271156</v>
      </c>
      <c r="I18" s="29">
        <v>354110</v>
      </c>
      <c r="J18" s="29">
        <f>AB18-SUM(G18:I18)</f>
        <v>344105</v>
      </c>
      <c r="K18" s="29">
        <v>436589</v>
      </c>
      <c r="L18" s="29">
        <v>494945</v>
      </c>
      <c r="M18" s="29">
        <v>474778</v>
      </c>
      <c r="N18" s="29">
        <v>486695</v>
      </c>
      <c r="O18" s="94">
        <v>687191</v>
      </c>
      <c r="P18" s="29">
        <v>824242.5</v>
      </c>
      <c r="Q18" s="29">
        <v>908639.5</v>
      </c>
      <c r="R18" s="29">
        <v>1032702</v>
      </c>
      <c r="S18" s="94">
        <v>1085749</v>
      </c>
      <c r="T18" s="29">
        <v>1148540.5</v>
      </c>
      <c r="U18" s="29">
        <v>1169561</v>
      </c>
      <c r="V18" s="29">
        <v>1281357</v>
      </c>
      <c r="W18" s="29">
        <v>1332560</v>
      </c>
      <c r="X18" s="29">
        <v>1418172</v>
      </c>
      <c r="Y18" s="29"/>
      <c r="Z18" s="29">
        <v>220819</v>
      </c>
      <c r="AA18" s="29">
        <v>516269</v>
      </c>
      <c r="AB18" s="29">
        <v>1163096</v>
      </c>
      <c r="AC18" s="29">
        <v>1893008</v>
      </c>
      <c r="AD18" s="29">
        <v>3452777</v>
      </c>
      <c r="AE18" s="29">
        <v>4685208</v>
      </c>
    </row>
    <row r="19" spans="1:36" ht="12.9" x14ac:dyDescent="0.5">
      <c r="A19" s="2" t="s">
        <v>93</v>
      </c>
      <c r="B19" s="2"/>
      <c r="C19" s="29"/>
      <c r="D19" s="29"/>
      <c r="E19" s="29"/>
      <c r="F19" s="29"/>
      <c r="G19" s="29"/>
      <c r="H19" s="29"/>
      <c r="I19" s="29"/>
      <c r="J19" s="29"/>
      <c r="K19" s="29"/>
      <c r="L19" s="29"/>
      <c r="M19" s="29"/>
      <c r="N19" s="29"/>
      <c r="O19" s="94"/>
      <c r="P19" s="29"/>
      <c r="Q19" s="29"/>
      <c r="R19" s="29"/>
      <c r="S19" s="94"/>
      <c r="T19" s="29"/>
      <c r="U19" s="29"/>
      <c r="V19" s="29"/>
      <c r="W19" s="29"/>
      <c r="X19" s="29"/>
      <c r="Y19" s="29"/>
      <c r="Z19" s="29"/>
      <c r="AA19" s="29"/>
      <c r="AB19" s="29"/>
      <c r="AC19" s="29"/>
      <c r="AD19" s="29"/>
      <c r="AE19" s="29"/>
    </row>
    <row r="20" spans="1:36" ht="12.9" x14ac:dyDescent="0.5">
      <c r="A20" s="2" t="s">
        <v>94</v>
      </c>
      <c r="B20" s="2"/>
      <c r="C20" s="29">
        <f>190613-D20</f>
        <v>65528</v>
      </c>
      <c r="D20" s="29">
        <v>125085</v>
      </c>
      <c r="E20" s="29">
        <v>148285</v>
      </c>
      <c r="F20" s="29">
        <f>AA20-SUM(C20:E20)</f>
        <v>177567</v>
      </c>
      <c r="G20" s="29">
        <f>1181554-H20</f>
        <v>306098</v>
      </c>
      <c r="H20" s="29">
        <v>875456</v>
      </c>
      <c r="I20" s="29">
        <v>1633764</v>
      </c>
      <c r="J20" s="29">
        <f>AB20-SUM(G20:I20)</f>
        <v>1756225</v>
      </c>
      <c r="K20" s="29">
        <v>3511068</v>
      </c>
      <c r="L20" s="29">
        <v>2724296</v>
      </c>
      <c r="M20" s="29">
        <v>1815662</v>
      </c>
      <c r="N20" s="29">
        <v>1961621</v>
      </c>
      <c r="O20" s="94">
        <v>1730793</v>
      </c>
      <c r="P20" s="29">
        <v>1785885</v>
      </c>
      <c r="Q20" s="29">
        <v>1762752</v>
      </c>
      <c r="R20" s="29">
        <v>1833426</v>
      </c>
      <c r="S20" s="94">
        <v>2163751</v>
      </c>
      <c r="T20" s="29">
        <v>2390884</v>
      </c>
      <c r="U20" s="29">
        <v>2423584</v>
      </c>
      <c r="V20" s="29">
        <v>2520083</v>
      </c>
      <c r="W20" s="29">
        <v>2731124</v>
      </c>
      <c r="X20" s="29">
        <v>2611743</v>
      </c>
      <c r="Y20" s="29"/>
      <c r="Z20" s="29">
        <v>166517</v>
      </c>
      <c r="AA20" s="29">
        <v>516465</v>
      </c>
      <c r="AB20" s="29">
        <v>4571543</v>
      </c>
      <c r="AC20" s="29">
        <v>10012647</v>
      </c>
      <c r="AD20" s="29">
        <v>7112856</v>
      </c>
      <c r="AE20" s="29">
        <v>9498302</v>
      </c>
    </row>
    <row r="21" spans="1:36" ht="12.9" x14ac:dyDescent="0.5">
      <c r="A21" s="2" t="s">
        <v>90</v>
      </c>
      <c r="B21" s="2"/>
      <c r="C21" s="32">
        <f t="shared" ref="C21:M21" si="3">SUM(C17:C20)</f>
        <v>177402</v>
      </c>
      <c r="D21" s="32">
        <f t="shared" si="3"/>
        <v>260493</v>
      </c>
      <c r="E21" s="32">
        <f t="shared" si="3"/>
        <v>307040</v>
      </c>
      <c r="F21" s="32">
        <f t="shared" si="3"/>
        <v>360664</v>
      </c>
      <c r="G21" s="32">
        <f t="shared" si="3"/>
        <v>527642</v>
      </c>
      <c r="H21" s="32">
        <f t="shared" si="3"/>
        <v>1200269</v>
      </c>
      <c r="I21" s="32">
        <f t="shared" si="3"/>
        <v>2068595</v>
      </c>
      <c r="J21" s="32">
        <f t="shared" si="3"/>
        <v>2171880</v>
      </c>
      <c r="K21" s="32">
        <f t="shared" si="3"/>
        <v>4039616</v>
      </c>
      <c r="L21" s="32">
        <f t="shared" si="3"/>
        <v>3330191</v>
      </c>
      <c r="M21" s="32">
        <f t="shared" si="3"/>
        <v>2393632</v>
      </c>
      <c r="N21" s="18">
        <v>2552060</v>
      </c>
      <c r="O21" s="44">
        <v>2527225</v>
      </c>
      <c r="P21" s="32">
        <v>2726195.5</v>
      </c>
      <c r="Q21" s="32">
        <v>2789850.5</v>
      </c>
      <c r="R21" s="32">
        <f>SUM(R17:R20)</f>
        <v>2988531</v>
      </c>
      <c r="S21" s="44">
        <v>3384163</v>
      </c>
      <c r="T21" s="32">
        <v>3673165.5</v>
      </c>
      <c r="U21" s="32">
        <v>3713928</v>
      </c>
      <c r="V21" s="32">
        <v>3910430</v>
      </c>
      <c r="W21" s="32">
        <f>SUM(W17:W20)</f>
        <v>4172904</v>
      </c>
      <c r="X21" s="32">
        <v>4128827</v>
      </c>
      <c r="Y21" s="29"/>
      <c r="Z21" s="32">
        <f>SUM(Z17:Z20)</f>
        <v>430051</v>
      </c>
      <c r="AA21" s="32">
        <f>SUM(AA17:AA20)</f>
        <v>1105599</v>
      </c>
      <c r="AB21" s="32">
        <f>SUM(AB17:AB20)</f>
        <v>5968386</v>
      </c>
      <c r="AC21" s="32">
        <f>SUM(AC17:AC20)</f>
        <v>12315499</v>
      </c>
      <c r="AD21" s="32">
        <v>11031804</v>
      </c>
      <c r="AE21" s="18">
        <v>14681686</v>
      </c>
    </row>
    <row r="22" spans="1:36" ht="12.9" x14ac:dyDescent="0.5">
      <c r="A22" s="2" t="s">
        <v>96</v>
      </c>
      <c r="B22" s="2"/>
      <c r="C22" s="29">
        <v>92591</v>
      </c>
      <c r="D22" s="29">
        <v>155152</v>
      </c>
      <c r="E22" s="29">
        <v>183550</v>
      </c>
      <c r="F22" s="29">
        <v>216638</v>
      </c>
      <c r="G22" s="29">
        <v>344910</v>
      </c>
      <c r="H22" s="29">
        <v>919206</v>
      </c>
      <c r="I22" s="29">
        <v>1683471</v>
      </c>
      <c r="J22" s="29">
        <v>1795221</v>
      </c>
      <c r="K22" s="29">
        <v>3544131</v>
      </c>
      <c r="L22" s="29">
        <v>2784138</v>
      </c>
      <c r="M22" s="29">
        <v>1881916</v>
      </c>
      <c r="N22" s="29">
        <v>2034467</v>
      </c>
      <c r="O22" s="29">
        <f t="shared" ref="O22:U22" si="4">O21-O23</f>
        <v>1857425.5</v>
      </c>
      <c r="P22" s="29">
        <f t="shared" si="4"/>
        <v>1946478.5</v>
      </c>
      <c r="Q22" s="29">
        <f t="shared" si="4"/>
        <v>1940515.5</v>
      </c>
      <c r="R22" s="29">
        <f t="shared" si="4"/>
        <v>2042341</v>
      </c>
      <c r="S22" s="29">
        <f t="shared" si="4"/>
        <v>2374209</v>
      </c>
      <c r="T22" s="29">
        <f t="shared" si="4"/>
        <v>2620880.5</v>
      </c>
      <c r="U22" s="29">
        <f t="shared" si="4"/>
        <v>2636438.5</v>
      </c>
      <c r="V22" s="29">
        <v>2726696</v>
      </c>
      <c r="W22" s="29">
        <v>2914377</v>
      </c>
      <c r="X22" s="29">
        <v>2829883</v>
      </c>
      <c r="Y22" s="29"/>
      <c r="Z22" s="29">
        <v>235216</v>
      </c>
      <c r="AA22" s="29">
        <v>647931</v>
      </c>
      <c r="AB22" s="29">
        <v>4742808</v>
      </c>
      <c r="AC22" s="29">
        <f>AC21-AC23</f>
        <v>10244652</v>
      </c>
      <c r="AD22" s="29">
        <f>AD21-AD23</f>
        <v>7786760</v>
      </c>
      <c r="AE22" s="29">
        <v>10358223</v>
      </c>
    </row>
    <row r="23" spans="1:36" ht="12.9" x14ac:dyDescent="0.5">
      <c r="A23" s="7" t="s">
        <v>152</v>
      </c>
      <c r="B23" s="2"/>
      <c r="C23" s="95">
        <f t="shared" ref="C23:N23" si="5">C21-C22</f>
        <v>84811</v>
      </c>
      <c r="D23" s="95">
        <f t="shared" si="5"/>
        <v>105341</v>
      </c>
      <c r="E23" s="95">
        <f t="shared" si="5"/>
        <v>123490</v>
      </c>
      <c r="F23" s="95">
        <f t="shared" si="5"/>
        <v>144026</v>
      </c>
      <c r="G23" s="95">
        <f t="shared" si="5"/>
        <v>182732</v>
      </c>
      <c r="H23" s="95">
        <f t="shared" si="5"/>
        <v>281063</v>
      </c>
      <c r="I23" s="95">
        <f t="shared" si="5"/>
        <v>385124</v>
      </c>
      <c r="J23" s="95">
        <f t="shared" si="5"/>
        <v>376659</v>
      </c>
      <c r="K23" s="95">
        <f t="shared" si="5"/>
        <v>495485</v>
      </c>
      <c r="L23" s="95">
        <f t="shared" si="5"/>
        <v>546053</v>
      </c>
      <c r="M23" s="95">
        <f t="shared" si="5"/>
        <v>511716</v>
      </c>
      <c r="N23" s="95">
        <f t="shared" si="5"/>
        <v>517593</v>
      </c>
      <c r="O23" s="95">
        <v>669799.5</v>
      </c>
      <c r="P23" s="95">
        <v>779717</v>
      </c>
      <c r="Q23" s="95">
        <v>849335</v>
      </c>
      <c r="R23" s="95">
        <v>946190</v>
      </c>
      <c r="S23" s="95">
        <v>1009954</v>
      </c>
      <c r="T23" s="95">
        <v>1052285</v>
      </c>
      <c r="U23" s="95">
        <v>1077489.5</v>
      </c>
      <c r="V23" s="95">
        <f>V21-V22</f>
        <v>1183734</v>
      </c>
      <c r="W23" s="95">
        <f>W21-W22</f>
        <v>1258527</v>
      </c>
      <c r="X23" s="95">
        <v>1298944</v>
      </c>
      <c r="Y23" s="29"/>
      <c r="Z23" s="95">
        <f>Z21-Z22</f>
        <v>194835</v>
      </c>
      <c r="AA23" s="95">
        <f>AA21-AA22</f>
        <v>457668</v>
      </c>
      <c r="AB23" s="95">
        <f>AB21-AB22</f>
        <v>1225578</v>
      </c>
      <c r="AC23" s="95">
        <v>2070847</v>
      </c>
      <c r="AD23" s="95">
        <v>3245044</v>
      </c>
      <c r="AE23" s="95">
        <f>AE21-AE22</f>
        <v>4323463</v>
      </c>
      <c r="AH23" s="119">
        <f>U23/Q23-1</f>
        <v>0.26862722011926987</v>
      </c>
      <c r="AI23" s="119">
        <f>V23/R23-1</f>
        <v>0.25105317113898895</v>
      </c>
      <c r="AJ23" s="119">
        <f>W23/S23-1</f>
        <v>0.24612309075462835</v>
      </c>
    </row>
    <row r="24" spans="1:36" ht="12.9" x14ac:dyDescent="0.5">
      <c r="A24" s="2"/>
      <c r="B24" s="40"/>
      <c r="C24" s="1"/>
      <c r="D24" s="1"/>
      <c r="E24" s="1"/>
      <c r="F24" s="1"/>
      <c r="G24" s="1"/>
      <c r="I24" s="1"/>
      <c r="J24" s="1"/>
      <c r="L24" s="40"/>
      <c r="M24" s="40"/>
      <c r="N24" s="40"/>
      <c r="O24" s="40"/>
      <c r="P24" s="40"/>
      <c r="Q24" s="40"/>
      <c r="R24" s="78"/>
      <c r="S24" s="78"/>
      <c r="T24" s="78"/>
      <c r="U24" s="78"/>
      <c r="V24" s="78"/>
      <c r="W24" s="78"/>
      <c r="X24" s="78"/>
      <c r="Y24" s="29"/>
      <c r="Z24" s="70"/>
      <c r="AA24" s="97"/>
      <c r="AB24" s="97"/>
      <c r="AC24" s="97"/>
      <c r="AD24" s="97"/>
      <c r="AE24" s="97"/>
    </row>
    <row r="25" spans="1:36" ht="12.9" x14ac:dyDescent="0.5">
      <c r="A25" s="7" t="s">
        <v>154</v>
      </c>
      <c r="B25" s="40"/>
      <c r="C25" s="1"/>
      <c r="D25" s="1"/>
      <c r="E25" s="1"/>
      <c r="F25" s="1"/>
      <c r="G25" s="1"/>
      <c r="H25" s="1"/>
      <c r="I25" s="1"/>
      <c r="J25" s="1"/>
      <c r="K25" s="1"/>
      <c r="L25" s="99"/>
      <c r="M25" s="40"/>
      <c r="N25" s="40"/>
      <c r="O25" s="40"/>
      <c r="P25" s="40"/>
      <c r="Q25" s="40"/>
      <c r="R25" s="40"/>
      <c r="S25" s="40"/>
      <c r="T25" s="40"/>
      <c r="U25" s="40"/>
      <c r="V25" s="40"/>
      <c r="W25" s="40"/>
      <c r="X25" s="40"/>
      <c r="Y25" s="40"/>
      <c r="Z25" s="70"/>
      <c r="AA25" s="70"/>
      <c r="AB25" s="70"/>
      <c r="AC25" s="70"/>
      <c r="AD25" s="70"/>
      <c r="AE25" s="70"/>
    </row>
    <row r="26" spans="1:36" ht="12.9" x14ac:dyDescent="0.5">
      <c r="A26" s="2" t="s">
        <v>91</v>
      </c>
      <c r="B26" s="40"/>
      <c r="C26" s="1"/>
      <c r="D26" s="1"/>
      <c r="E26" s="1"/>
      <c r="F26" s="1"/>
      <c r="G26" s="1"/>
      <c r="H26" s="1"/>
      <c r="I26" s="1"/>
      <c r="J26" s="1"/>
      <c r="K26" s="1"/>
      <c r="L26" s="100"/>
      <c r="M26" s="100"/>
      <c r="N26" s="100"/>
      <c r="O26" s="100"/>
      <c r="P26" s="100"/>
      <c r="Q26" s="100"/>
      <c r="R26" s="100"/>
      <c r="S26" s="100"/>
      <c r="T26" s="100"/>
      <c r="U26" s="100"/>
      <c r="V26" s="100"/>
      <c r="W26" s="100"/>
      <c r="X26" s="100"/>
      <c r="Y26" s="100"/>
      <c r="Z26" s="70"/>
      <c r="AA26" s="70"/>
      <c r="AB26" s="70"/>
      <c r="AC26" s="100"/>
      <c r="AD26" s="100"/>
      <c r="AE26" s="100"/>
    </row>
    <row r="27" spans="1:36" ht="12.9" x14ac:dyDescent="0.5">
      <c r="A27" s="2" t="s">
        <v>92</v>
      </c>
      <c r="B27" s="2"/>
      <c r="C27" s="1"/>
      <c r="D27" s="1"/>
      <c r="E27" s="1"/>
      <c r="F27" s="1"/>
      <c r="G27" s="1"/>
      <c r="H27" s="1"/>
      <c r="I27" s="1"/>
      <c r="J27" s="1"/>
      <c r="K27" s="1"/>
      <c r="L27" s="29">
        <v>38993</v>
      </c>
      <c r="M27" s="29">
        <v>57650</v>
      </c>
      <c r="N27" s="29">
        <v>55713</v>
      </c>
      <c r="O27" s="29">
        <v>54598</v>
      </c>
      <c r="P27" s="29">
        <v>56841</v>
      </c>
      <c r="Q27" s="29">
        <v>56135</v>
      </c>
      <c r="R27" s="29">
        <v>38073</v>
      </c>
      <c r="S27" s="29">
        <v>50592</v>
      </c>
      <c r="T27" s="29">
        <v>50079</v>
      </c>
      <c r="U27" s="29">
        <v>50183</v>
      </c>
      <c r="V27" s="29">
        <v>49700</v>
      </c>
      <c r="W27" s="29">
        <v>53516</v>
      </c>
      <c r="X27" s="29">
        <v>47104</v>
      </c>
      <c r="Y27" s="29"/>
      <c r="Z27" s="70"/>
      <c r="AA27" s="70"/>
      <c r="AB27" s="70"/>
      <c r="AC27" s="100">
        <v>152356</v>
      </c>
      <c r="AD27" s="100">
        <v>205646</v>
      </c>
      <c r="AE27" s="100">
        <v>200553</v>
      </c>
    </row>
    <row r="28" spans="1:36" ht="12.9" x14ac:dyDescent="0.5">
      <c r="A28" s="2" t="s">
        <v>93</v>
      </c>
      <c r="B28" s="2"/>
      <c r="C28" s="1"/>
      <c r="D28" s="1"/>
      <c r="E28" s="1"/>
      <c r="F28" s="1"/>
      <c r="G28" s="1"/>
      <c r="H28" s="1"/>
      <c r="I28" s="1"/>
      <c r="J28" s="1"/>
      <c r="K28" s="1"/>
      <c r="L28" s="29"/>
      <c r="M28" s="29"/>
      <c r="N28" s="29"/>
      <c r="O28" s="29"/>
      <c r="P28" s="29"/>
      <c r="Q28" s="29"/>
      <c r="R28" s="29"/>
      <c r="S28" s="29"/>
      <c r="T28" s="29"/>
      <c r="U28" s="29"/>
      <c r="V28" s="29"/>
      <c r="W28" s="29">
        <v>671</v>
      </c>
      <c r="X28" s="29">
        <v>142</v>
      </c>
      <c r="Y28" s="29"/>
      <c r="Z28" s="70"/>
      <c r="AA28" s="70"/>
      <c r="AB28" s="70"/>
      <c r="AC28" s="100"/>
      <c r="AD28" s="100"/>
      <c r="AE28" s="100"/>
    </row>
    <row r="29" spans="1:36" ht="12.9" x14ac:dyDescent="0.5">
      <c r="A29" s="2" t="s">
        <v>94</v>
      </c>
      <c r="B29" s="2"/>
      <c r="C29" s="1"/>
      <c r="D29" s="1"/>
      <c r="E29" s="1"/>
      <c r="F29" s="1"/>
      <c r="G29" s="1"/>
      <c r="H29" s="1"/>
      <c r="I29" s="1"/>
      <c r="J29" s="1"/>
      <c r="K29" s="1"/>
      <c r="L29" s="29"/>
      <c r="M29" s="29"/>
      <c r="N29" s="29"/>
      <c r="O29" s="29"/>
      <c r="P29" s="29"/>
      <c r="Q29" s="29"/>
      <c r="R29" s="29"/>
      <c r="S29" s="29"/>
      <c r="T29" s="29"/>
      <c r="U29" s="29"/>
      <c r="V29" s="29"/>
      <c r="W29" s="29"/>
      <c r="X29" s="29"/>
      <c r="Y29" s="29"/>
      <c r="Z29" s="70"/>
      <c r="AA29" s="70"/>
      <c r="AB29" s="70"/>
      <c r="AC29" s="100"/>
      <c r="AD29" s="100"/>
      <c r="AE29" s="100"/>
    </row>
    <row r="30" spans="1:36" ht="12.9" x14ac:dyDescent="0.5">
      <c r="A30" s="2" t="s">
        <v>90</v>
      </c>
      <c r="B30" s="2"/>
      <c r="C30" s="1"/>
      <c r="D30" s="1"/>
      <c r="E30" s="1"/>
      <c r="F30" s="1"/>
      <c r="G30" s="1"/>
      <c r="H30" s="1"/>
      <c r="I30" s="1"/>
      <c r="J30" s="1"/>
      <c r="K30" s="1"/>
      <c r="L30" s="101">
        <f>SUM(L26:L29)</f>
        <v>38993</v>
      </c>
      <c r="M30" s="101">
        <f>SUM(M26:M29)</f>
        <v>57650</v>
      </c>
      <c r="N30" s="101">
        <f>SUM(N26:N29)</f>
        <v>55713</v>
      </c>
      <c r="O30" s="101">
        <f>SUM(O26:O29)</f>
        <v>54598</v>
      </c>
      <c r="P30" s="101">
        <f>SUM(P26:P29)</f>
        <v>56841</v>
      </c>
      <c r="Q30" s="101">
        <f>Q27</f>
        <v>56135</v>
      </c>
      <c r="R30" s="101">
        <f>R27</f>
        <v>38073</v>
      </c>
      <c r="S30" s="101">
        <f>S27</f>
        <v>50592</v>
      </c>
      <c r="T30" s="101">
        <f>T27</f>
        <v>50079</v>
      </c>
      <c r="U30" s="101">
        <f>U27</f>
        <v>50183</v>
      </c>
      <c r="V30" s="101">
        <v>49700</v>
      </c>
      <c r="W30" s="101">
        <f>SUM(W26:W29)</f>
        <v>54187</v>
      </c>
      <c r="X30" s="101">
        <v>47246</v>
      </c>
      <c r="Y30" s="101"/>
      <c r="Z30" s="70"/>
      <c r="AA30" s="70"/>
      <c r="AB30" s="70"/>
      <c r="AC30" s="101">
        <f>SUM(AC26:AC29)</f>
        <v>152356</v>
      </c>
      <c r="AD30" s="101">
        <f>SUM(AD26:AD29)</f>
        <v>205646</v>
      </c>
      <c r="AE30" s="101">
        <f>SUM(AE26:AE29)</f>
        <v>200553</v>
      </c>
    </row>
    <row r="31" spans="1:36" ht="12.9" x14ac:dyDescent="0.5">
      <c r="A31" s="2" t="s">
        <v>96</v>
      </c>
      <c r="B31" s="2"/>
      <c r="C31" s="1"/>
      <c r="D31" s="1"/>
      <c r="E31" s="1"/>
      <c r="F31" s="1"/>
      <c r="G31" s="1"/>
      <c r="H31" s="1"/>
      <c r="I31" s="1"/>
      <c r="J31" s="1"/>
      <c r="K31" s="1"/>
      <c r="L31" s="29">
        <v>29119</v>
      </c>
      <c r="M31" s="29">
        <v>42377</v>
      </c>
      <c r="N31" s="29">
        <f>N30-N32</f>
        <v>48555</v>
      </c>
      <c r="O31" s="29">
        <v>44518</v>
      </c>
      <c r="P31" s="29">
        <v>47525</v>
      </c>
      <c r="Q31" s="29">
        <v>46484</v>
      </c>
      <c r="R31" s="29">
        <v>27172</v>
      </c>
      <c r="S31" s="29">
        <v>37523</v>
      </c>
      <c r="T31" s="29">
        <v>40296</v>
      </c>
      <c r="U31" s="29">
        <v>34561</v>
      </c>
      <c r="V31" s="29">
        <f>V30-V32</f>
        <v>35399</v>
      </c>
      <c r="W31" s="29">
        <v>38513</v>
      </c>
      <c r="X31" s="29">
        <v>35294</v>
      </c>
      <c r="Y31" s="29"/>
      <c r="Z31" s="70"/>
      <c r="AA31" s="70"/>
      <c r="AB31" s="70"/>
      <c r="AC31" s="100">
        <f>AC30-AC32</f>
        <v>120051</v>
      </c>
      <c r="AD31" s="100">
        <v>165699</v>
      </c>
      <c r="AE31" s="18">
        <v>147784</v>
      </c>
    </row>
    <row r="32" spans="1:36" ht="12.9" x14ac:dyDescent="0.5">
      <c r="A32" s="7" t="s">
        <v>152</v>
      </c>
      <c r="B32" s="2"/>
      <c r="C32" s="1"/>
      <c r="D32" s="1"/>
      <c r="E32" s="1"/>
      <c r="F32" s="1"/>
      <c r="G32" s="1"/>
      <c r="H32" s="1"/>
      <c r="I32" s="1"/>
      <c r="J32" s="1"/>
      <c r="K32" s="1"/>
      <c r="L32" s="95">
        <v>9874</v>
      </c>
      <c r="M32" s="95">
        <f>M30-M31</f>
        <v>15273</v>
      </c>
      <c r="N32" s="95">
        <v>7158</v>
      </c>
      <c r="O32" s="95">
        <f t="shared" ref="O32:U32" si="6">O30-O31</f>
        <v>10080</v>
      </c>
      <c r="P32" s="95">
        <f t="shared" si="6"/>
        <v>9316</v>
      </c>
      <c r="Q32" s="95">
        <f t="shared" si="6"/>
        <v>9651</v>
      </c>
      <c r="R32" s="95">
        <f t="shared" si="6"/>
        <v>10901</v>
      </c>
      <c r="S32" s="95">
        <f t="shared" si="6"/>
        <v>13069</v>
      </c>
      <c r="T32" s="95">
        <f t="shared" si="6"/>
        <v>9783</v>
      </c>
      <c r="U32" s="95">
        <f t="shared" si="6"/>
        <v>15622</v>
      </c>
      <c r="V32" s="95">
        <v>14301</v>
      </c>
      <c r="W32" s="95">
        <f>W30-W31</f>
        <v>15674</v>
      </c>
      <c r="X32" s="95">
        <v>11952</v>
      </c>
      <c r="Y32" s="95"/>
      <c r="Z32" s="70"/>
      <c r="AA32" s="70"/>
      <c r="AB32" s="70"/>
      <c r="AC32" s="95">
        <v>32305</v>
      </c>
      <c r="AD32" s="95">
        <f>AD30-AD31</f>
        <v>39947</v>
      </c>
      <c r="AE32" s="95">
        <f>AE30-AE31</f>
        <v>52769</v>
      </c>
    </row>
    <row r="33" spans="1:31" ht="12.9" x14ac:dyDescent="0.5">
      <c r="A33" s="2"/>
      <c r="B33" s="2"/>
      <c r="C33" s="1"/>
      <c r="D33" s="1"/>
      <c r="E33" s="1"/>
      <c r="F33" s="1"/>
      <c r="G33" s="1"/>
      <c r="H33" s="1"/>
      <c r="I33" s="1"/>
      <c r="J33" s="1"/>
      <c r="K33" s="1"/>
      <c r="L33" s="1"/>
      <c r="M33" s="2"/>
      <c r="N33" s="2"/>
      <c r="O33" s="2"/>
      <c r="P33" s="2"/>
      <c r="Z33" s="70"/>
      <c r="AA33" s="70"/>
      <c r="AB33" s="70"/>
      <c r="AC33" s="70"/>
      <c r="AD33" s="70"/>
      <c r="AE33" s="70"/>
    </row>
    <row r="34" spans="1:31" ht="12.9" x14ac:dyDescent="0.5">
      <c r="A34" s="56"/>
      <c r="B34" s="2"/>
      <c r="C34" s="70"/>
      <c r="D34" s="70"/>
      <c r="E34" s="70"/>
      <c r="F34" s="70"/>
      <c r="G34" s="70"/>
      <c r="H34" s="70"/>
      <c r="I34" s="1"/>
      <c r="J34" s="70"/>
      <c r="K34" s="1"/>
      <c r="L34" s="70"/>
      <c r="M34" s="2"/>
      <c r="N34" s="2"/>
      <c r="O34" s="2"/>
      <c r="P34" s="2"/>
      <c r="Q34" s="2"/>
      <c r="Z34" s="70"/>
      <c r="AA34" s="70"/>
      <c r="AB34" s="70"/>
      <c r="AC34" s="70"/>
      <c r="AD34" s="70"/>
      <c r="AE34" s="70"/>
    </row>
    <row r="35" spans="1:31" ht="12.9" x14ac:dyDescent="0.5">
      <c r="A35" s="56" t="s">
        <v>155</v>
      </c>
      <c r="B35" s="2"/>
      <c r="C35" s="70"/>
      <c r="D35" s="70"/>
      <c r="E35" s="102"/>
      <c r="F35" s="102"/>
      <c r="G35" s="102"/>
      <c r="H35" s="102"/>
      <c r="I35" s="1"/>
      <c r="J35" s="1"/>
      <c r="K35" s="1"/>
      <c r="Z35" s="70"/>
      <c r="AA35" s="70"/>
      <c r="AB35" s="102"/>
      <c r="AC35" s="102"/>
      <c r="AD35" s="102"/>
      <c r="AE35" s="102"/>
    </row>
    <row r="36" spans="1:31" ht="12.9" x14ac:dyDescent="0.5">
      <c r="A36" s="43" t="s">
        <v>151</v>
      </c>
      <c r="B36" s="56"/>
      <c r="C36" s="4"/>
      <c r="D36" s="4"/>
      <c r="E36" s="1"/>
      <c r="F36" s="103"/>
      <c r="G36" s="103"/>
      <c r="H36" s="103"/>
      <c r="I36" s="1"/>
      <c r="J36" s="1"/>
      <c r="K36" s="1"/>
      <c r="L36" s="1"/>
      <c r="Z36" s="70"/>
      <c r="AA36" s="70"/>
      <c r="AB36" s="103"/>
      <c r="AC36" s="103"/>
      <c r="AD36" s="103"/>
      <c r="AE36" s="103"/>
    </row>
    <row r="37" spans="1:31" ht="12.9" x14ac:dyDescent="0.5">
      <c r="A37" s="56" t="s">
        <v>91</v>
      </c>
      <c r="B37" s="56"/>
      <c r="C37" s="4"/>
      <c r="D37" s="4"/>
      <c r="E37" s="4"/>
      <c r="F37" s="4"/>
      <c r="G37" s="4"/>
      <c r="H37" s="104">
        <f t="shared" ref="H37:W39" si="7">H8/D8-1</f>
        <v>-0.17089186652323396</v>
      </c>
      <c r="I37" s="104">
        <f t="shared" si="7"/>
        <v>5.9150545644251595E-2</v>
      </c>
      <c r="J37" s="104">
        <f t="shared" si="7"/>
        <v>5.7579334391577364E-2</v>
      </c>
      <c r="K37" s="104">
        <f t="shared" si="7"/>
        <v>0.18827247556423399</v>
      </c>
      <c r="L37" s="104">
        <f t="shared" si="7"/>
        <v>0.77531462916292337</v>
      </c>
      <c r="M37" s="104">
        <f t="shared" si="7"/>
        <v>0.41355217370197717</v>
      </c>
      <c r="N37" s="104">
        <f t="shared" si="7"/>
        <v>0.40549482716998209</v>
      </c>
      <c r="O37" s="104">
        <f t="shared" si="7"/>
        <v>0.29495467713943957</v>
      </c>
      <c r="P37" s="104">
        <f t="shared" si="7"/>
        <v>0.21774492576053128</v>
      </c>
      <c r="Q37" s="104">
        <f t="shared" si="7"/>
        <v>0.17220198886290383</v>
      </c>
      <c r="R37" s="104">
        <f t="shared" si="7"/>
        <v>0.12231933266785977</v>
      </c>
      <c r="S37" s="104">
        <f t="shared" si="7"/>
        <v>0.14622221747611519</v>
      </c>
      <c r="T37" s="104">
        <f t="shared" si="7"/>
        <v>0.10611199002088045</v>
      </c>
      <c r="U37" s="104">
        <f t="shared" si="7"/>
        <v>9.8935924672241882E-2</v>
      </c>
      <c r="V37" s="104">
        <f t="shared" si="7"/>
        <v>9.9597729065609153E-2</v>
      </c>
      <c r="W37" s="104">
        <f t="shared" si="7"/>
        <v>8.846528296437528E-2</v>
      </c>
      <c r="X37" s="104">
        <v>7.3236949211822777E-2</v>
      </c>
      <c r="Y37" s="104"/>
      <c r="Z37" s="97"/>
      <c r="AA37" s="104">
        <f t="shared" ref="AA37:AE39" si="8">AA8/Z8-1</f>
        <v>0.23859036140609757</v>
      </c>
      <c r="AB37" s="104">
        <f t="shared" si="8"/>
        <v>1.7625770017974052E-2</v>
      </c>
      <c r="AC37" s="104">
        <f t="shared" si="8"/>
        <v>0.43187560821120652</v>
      </c>
      <c r="AD37" s="104">
        <f t="shared" si="8"/>
        <v>0.19438929829612461</v>
      </c>
      <c r="AE37" s="104">
        <f t="shared" si="8"/>
        <v>0.11112034318879904</v>
      </c>
    </row>
    <row r="38" spans="1:31" ht="12.9" x14ac:dyDescent="0.5">
      <c r="A38" s="56" t="s">
        <v>92</v>
      </c>
      <c r="B38" s="56"/>
      <c r="C38" s="4"/>
      <c r="D38" s="4"/>
      <c r="E38" s="4"/>
      <c r="F38" s="4"/>
      <c r="G38" s="4"/>
      <c r="H38" s="104">
        <f t="shared" si="7"/>
        <v>-0.16116892978381281</v>
      </c>
      <c r="I38" s="104">
        <f t="shared" si="7"/>
        <v>-5.943714443940995E-2</v>
      </c>
      <c r="J38" s="104">
        <f t="shared" si="7"/>
        <v>5.6460472892285729E-3</v>
      </c>
      <c r="K38" s="104">
        <f t="shared" si="7"/>
        <v>0.18127011998829379</v>
      </c>
      <c r="L38" s="104">
        <f t="shared" si="7"/>
        <v>1.0133388357140003</v>
      </c>
      <c r="M38" s="104">
        <f t="shared" si="7"/>
        <v>0.73790305314092408</v>
      </c>
      <c r="N38" s="104">
        <f t="shared" si="7"/>
        <v>1.1820340850797026</v>
      </c>
      <c r="O38" s="104">
        <f t="shared" si="7"/>
        <v>0.79836818286922351</v>
      </c>
      <c r="P38" s="104">
        <f t="shared" si="7"/>
        <v>0.41346535308119536</v>
      </c>
      <c r="Q38" s="104">
        <f t="shared" si="7"/>
        <v>0.39666812450336031</v>
      </c>
      <c r="R38" s="104">
        <f t="shared" si="7"/>
        <v>2.7776084703997395E-2</v>
      </c>
      <c r="S38" s="104">
        <f t="shared" si="7"/>
        <v>5.5632599831012763E-2</v>
      </c>
      <c r="T38" s="104">
        <f t="shared" si="7"/>
        <v>0.22970681448736396</v>
      </c>
      <c r="U38" s="104">
        <f t="shared" si="7"/>
        <v>0.20472883721853341</v>
      </c>
      <c r="V38" s="104">
        <f t="shared" si="7"/>
        <v>0.24183095131187682</v>
      </c>
      <c r="W38" s="104">
        <f t="shared" si="7"/>
        <v>0.28855983261050189</v>
      </c>
      <c r="X38" s="104">
        <v>0.22725223725879928</v>
      </c>
      <c r="Y38" s="104"/>
      <c r="Z38" s="97"/>
      <c r="AA38" s="104">
        <f t="shared" si="8"/>
        <v>0.66130853566913661</v>
      </c>
      <c r="AB38" s="104">
        <f t="shared" si="8"/>
        <v>1.9045478425234297E-2</v>
      </c>
      <c r="AC38" s="104">
        <f t="shared" si="8"/>
        <v>0.76549200519788374</v>
      </c>
      <c r="AD38" s="104">
        <f t="shared" si="8"/>
        <v>0.34616860861541898</v>
      </c>
      <c r="AE38" s="104">
        <f t="shared" si="8"/>
        <v>0.18419075306088217</v>
      </c>
    </row>
    <row r="39" spans="1:31" ht="12.9" x14ac:dyDescent="0.5">
      <c r="A39" s="56" t="s">
        <v>93</v>
      </c>
      <c r="B39" s="56"/>
      <c r="C39" s="4"/>
      <c r="D39" s="4"/>
      <c r="E39" s="4"/>
      <c r="F39" s="4"/>
      <c r="G39" s="4"/>
      <c r="H39" s="104">
        <f t="shared" si="7"/>
        <v>-0.13198562443845463</v>
      </c>
      <c r="I39" s="104">
        <f t="shared" si="7"/>
        <v>0.25397408802719834</v>
      </c>
      <c r="J39" s="104">
        <f t="shared" si="7"/>
        <v>9.4130327390308466E-2</v>
      </c>
      <c r="K39" s="104">
        <f t="shared" si="7"/>
        <v>0.39240628778718256</v>
      </c>
      <c r="L39" s="104">
        <f t="shared" si="7"/>
        <v>1.2630162509057032</v>
      </c>
      <c r="M39" s="104">
        <f t="shared" si="7"/>
        <v>0.36495200410346595</v>
      </c>
      <c r="N39" s="104">
        <f t="shared" si="7"/>
        <v>0.47395640930919836</v>
      </c>
      <c r="O39" s="104">
        <f t="shared" si="7"/>
        <v>0.29658190912880378</v>
      </c>
      <c r="P39" s="104">
        <f t="shared" si="7"/>
        <v>9.8911402826693529E-2</v>
      </c>
      <c r="Q39" s="104">
        <f t="shared" si="7"/>
        <v>0.16462219836263592</v>
      </c>
      <c r="R39" s="104">
        <f t="shared" si="7"/>
        <v>-7.1567808409913614E-3</v>
      </c>
      <c r="S39" s="104">
        <f t="shared" si="7"/>
        <v>3.3488720998766652E-3</v>
      </c>
      <c r="T39" s="104">
        <f t="shared" si="7"/>
        <v>-6.5118311793719186E-2</v>
      </c>
      <c r="U39" s="104">
        <f t="shared" si="7"/>
        <v>-2.4131096155619036E-2</v>
      </c>
      <c r="V39" s="104">
        <f t="shared" si="7"/>
        <v>-8.9445488458194222E-2</v>
      </c>
      <c r="W39" s="104">
        <f t="shared" si="7"/>
        <v>-0.15008945021494757</v>
      </c>
      <c r="X39" s="104">
        <v>-4.6836739236899461E-2</v>
      </c>
      <c r="Y39" s="104"/>
      <c r="Z39" s="97"/>
      <c r="AA39" s="104">
        <f t="shared" si="8"/>
        <v>0.23359560895143283</v>
      </c>
      <c r="AB39" s="104">
        <f t="shared" si="8"/>
        <v>8.459854446482451E-2</v>
      </c>
      <c r="AC39" s="104">
        <f t="shared" si="8"/>
        <v>0.58944508695747055</v>
      </c>
      <c r="AD39" s="104">
        <f t="shared" si="8"/>
        <v>0.12863212954509562</v>
      </c>
      <c r="AE39" s="104">
        <f t="shared" si="8"/>
        <v>-4.4034108187668064E-2</v>
      </c>
    </row>
    <row r="40" spans="1:31" ht="12.9" x14ac:dyDescent="0.5">
      <c r="A40" s="56" t="s">
        <v>94</v>
      </c>
      <c r="B40" s="56"/>
      <c r="C40" s="4"/>
      <c r="D40" s="4"/>
      <c r="E40" s="4"/>
      <c r="F40" s="4"/>
      <c r="G40" s="4"/>
      <c r="H40" s="104"/>
      <c r="I40" s="104"/>
      <c r="J40" s="104"/>
      <c r="K40" s="104"/>
      <c r="L40" s="104"/>
      <c r="M40" s="104"/>
      <c r="N40" s="104"/>
      <c r="O40" s="104"/>
      <c r="P40" s="104"/>
      <c r="Q40" s="104"/>
      <c r="R40" s="104"/>
      <c r="S40" s="104"/>
      <c r="T40" s="104"/>
      <c r="U40" s="104"/>
      <c r="V40" s="104"/>
      <c r="W40" s="104"/>
      <c r="X40" s="104"/>
      <c r="Y40" s="104"/>
      <c r="Z40" s="97"/>
      <c r="AA40" s="104"/>
      <c r="AB40" s="104"/>
      <c r="AC40" s="104"/>
      <c r="AD40" s="104"/>
      <c r="AE40" s="104"/>
    </row>
    <row r="41" spans="1:31" ht="12.9" x14ac:dyDescent="0.5">
      <c r="A41" s="56" t="s">
        <v>90</v>
      </c>
      <c r="B41" s="56"/>
      <c r="C41" s="4"/>
      <c r="D41" s="4"/>
      <c r="E41" s="4"/>
      <c r="F41" s="4"/>
      <c r="G41" s="4"/>
      <c r="H41" s="104">
        <f t="shared" ref="H41:W43" si="9">H12/D12-1</f>
        <v>-0.16889640560873942</v>
      </c>
      <c r="I41" s="104">
        <f t="shared" si="9"/>
        <v>5.0944651366867433E-2</v>
      </c>
      <c r="J41" s="104">
        <f t="shared" si="9"/>
        <v>5.2650100936421307E-2</v>
      </c>
      <c r="K41" s="104">
        <f t="shared" si="9"/>
        <v>0.19237650664876327</v>
      </c>
      <c r="L41" s="104">
        <f t="shared" si="9"/>
        <v>0.81306023590044174</v>
      </c>
      <c r="M41" s="104">
        <f t="shared" si="9"/>
        <v>0.44356605706743846</v>
      </c>
      <c r="N41" s="104">
        <f t="shared" si="9"/>
        <v>0.48999685945557148</v>
      </c>
      <c r="O41" s="104">
        <f t="shared" si="9"/>
        <v>0.35490255037566798</v>
      </c>
      <c r="P41" s="104">
        <f t="shared" si="9"/>
        <v>0.2363532872584424</v>
      </c>
      <c r="Q41" s="104">
        <f t="shared" si="9"/>
        <v>0.19815041006312417</v>
      </c>
      <c r="R41" s="104">
        <f t="shared" si="9"/>
        <v>0.10439289592258705</v>
      </c>
      <c r="S41" s="104">
        <f t="shared" si="9"/>
        <v>0.12804698503505163</v>
      </c>
      <c r="T41" s="104">
        <f t="shared" si="9"/>
        <v>0.1173323465698406</v>
      </c>
      <c r="U41" s="104">
        <f t="shared" si="9"/>
        <v>0.11010505490832734</v>
      </c>
      <c r="V41" s="104">
        <f t="shared" si="9"/>
        <v>0.11612031782345356</v>
      </c>
      <c r="W41" s="104">
        <f t="shared" si="9"/>
        <v>0.11229503348386505</v>
      </c>
      <c r="X41" s="104">
        <v>9.2607132754231047E-2</v>
      </c>
      <c r="Y41" s="104"/>
      <c r="Z41" s="97"/>
      <c r="AA41" s="104">
        <f t="shared" ref="AA41:AE43" si="10">AA12/Z12-1</f>
        <v>0.27301529168036387</v>
      </c>
      <c r="AB41" s="104">
        <f t="shared" si="10"/>
        <v>1.9411967921321605E-2</v>
      </c>
      <c r="AC41" s="104">
        <f t="shared" si="10"/>
        <v>0.4715402279048575</v>
      </c>
      <c r="AD41" s="104">
        <f t="shared" si="10"/>
        <v>0.21196133977542031</v>
      </c>
      <c r="AE41" s="104">
        <f t="shared" si="10"/>
        <v>0.1174500968123191</v>
      </c>
    </row>
    <row r="42" spans="1:31" ht="12.9" x14ac:dyDescent="0.5">
      <c r="A42" s="56" t="s">
        <v>96</v>
      </c>
      <c r="B42" s="56"/>
      <c r="C42" s="4"/>
      <c r="D42" s="4"/>
      <c r="E42" s="4"/>
      <c r="F42" s="4"/>
      <c r="G42" s="4"/>
      <c r="H42" s="104">
        <f t="shared" si="9"/>
        <v>-0.22076353154365491</v>
      </c>
      <c r="I42" s="104">
        <f t="shared" si="9"/>
        <v>2.4251581762089192E-3</v>
      </c>
      <c r="J42" s="104">
        <f t="shared" si="9"/>
        <v>2.097024980004969E-3</v>
      </c>
      <c r="K42" s="104">
        <f t="shared" si="9"/>
        <v>0.10436047562979955</v>
      </c>
      <c r="L42" s="104">
        <f t="shared" si="9"/>
        <v>0.78177433914869399</v>
      </c>
      <c r="M42" s="104">
        <f t="shared" si="9"/>
        <v>0.41599394187945626</v>
      </c>
      <c r="N42" s="104">
        <f t="shared" si="9"/>
        <v>0.45247018617681345</v>
      </c>
      <c r="O42" s="104">
        <f t="shared" si="9"/>
        <v>0.38953547607698158</v>
      </c>
      <c r="P42" s="104">
        <f t="shared" si="9"/>
        <v>0.29530695214847924</v>
      </c>
      <c r="Q42" s="104">
        <f t="shared" si="9"/>
        <v>0.22132786429189344</v>
      </c>
      <c r="R42" s="104">
        <f t="shared" si="9"/>
        <v>0.13242791059032366</v>
      </c>
      <c r="S42" s="104">
        <f t="shared" si="9"/>
        <v>0.13103059084781954</v>
      </c>
      <c r="T42" s="104">
        <f t="shared" si="9"/>
        <v>7.1033828542882871E-2</v>
      </c>
      <c r="U42" s="104">
        <f t="shared" si="9"/>
        <v>9.0063731697613836E-2</v>
      </c>
      <c r="V42" s="104">
        <f t="shared" si="9"/>
        <v>6.9474975439510533E-2</v>
      </c>
      <c r="W42" s="104">
        <f t="shared" si="9"/>
        <v>5.3194260345097E-2</v>
      </c>
      <c r="X42" s="104">
        <v>4.8851346087719349E-2</v>
      </c>
      <c r="Y42" s="104"/>
      <c r="Z42" s="97"/>
      <c r="AA42" s="104">
        <f t="shared" si="10"/>
        <v>0.25776158424113338</v>
      </c>
      <c r="AB42" s="104">
        <f t="shared" si="10"/>
        <v>-2.4232933522112088E-2</v>
      </c>
      <c r="AC42" s="104">
        <f t="shared" si="10"/>
        <v>0.42313866746217021</v>
      </c>
      <c r="AD42" s="104">
        <f t="shared" si="10"/>
        <v>0.24700687633682894</v>
      </c>
      <c r="AE42" s="104">
        <f t="shared" si="10"/>
        <v>8.8506582784070975E-2</v>
      </c>
    </row>
    <row r="43" spans="1:31" ht="12.9" x14ac:dyDescent="0.5">
      <c r="A43" s="56" t="s">
        <v>156</v>
      </c>
      <c r="B43" s="56"/>
      <c r="C43" s="4"/>
      <c r="D43" s="4"/>
      <c r="E43" s="4"/>
      <c r="F43" s="4"/>
      <c r="G43" s="4"/>
      <c r="H43" s="104">
        <f t="shared" si="9"/>
        <v>-9.0746756987166166E-2</v>
      </c>
      <c r="I43" s="104">
        <f t="shared" si="9"/>
        <v>0.12489419705180782</v>
      </c>
      <c r="J43" s="104">
        <f t="shared" si="9"/>
        <v>0.12723054018667912</v>
      </c>
      <c r="K43" s="104">
        <f t="shared" si="9"/>
        <v>0.31550528573315839</v>
      </c>
      <c r="L43" s="104">
        <f t="shared" si="9"/>
        <v>0.85345898004434595</v>
      </c>
      <c r="M43" s="104">
        <f t="shared" si="9"/>
        <v>0.48101414258876063</v>
      </c>
      <c r="N43" s="104">
        <f t="shared" si="9"/>
        <v>0.53921378073254633</v>
      </c>
      <c r="O43" s="104">
        <f t="shared" si="9"/>
        <v>0.31422964172165058</v>
      </c>
      <c r="P43" s="104">
        <f t="shared" si="9"/>
        <v>0.16317204347016179</v>
      </c>
      <c r="Q43" s="104">
        <f t="shared" si="9"/>
        <v>0.16805311559239566</v>
      </c>
      <c r="R43" s="104">
        <f t="shared" si="9"/>
        <v>6.9696573212514323E-2</v>
      </c>
      <c r="S43" s="104">
        <f t="shared" si="9"/>
        <v>0.12434226089105405</v>
      </c>
      <c r="T43" s="104">
        <f t="shared" si="9"/>
        <v>0.18133305907157493</v>
      </c>
      <c r="U43" s="104">
        <f t="shared" si="9"/>
        <v>0.13731688751495197</v>
      </c>
      <c r="V43" s="104">
        <f t="shared" si="9"/>
        <v>0.17723434546574257</v>
      </c>
      <c r="W43" s="104">
        <f t="shared" si="9"/>
        <v>0.18611662600985301</v>
      </c>
      <c r="X43" s="104">
        <v>0.14744544067221121</v>
      </c>
      <c r="Y43" s="104"/>
      <c r="Z43" s="97"/>
      <c r="AA43" s="104">
        <f t="shared" si="10"/>
        <v>0.2964402664438841</v>
      </c>
      <c r="AB43" s="104">
        <f t="shared" si="10"/>
        <v>8.4437370678216217E-2</v>
      </c>
      <c r="AC43" s="104">
        <f t="shared" si="10"/>
        <v>0.53642616447068669</v>
      </c>
      <c r="AD43" s="104">
        <f t="shared" si="10"/>
        <v>0.16844428924089772</v>
      </c>
      <c r="AE43" s="104">
        <f t="shared" si="10"/>
        <v>0.15580658472548503</v>
      </c>
    </row>
    <row r="44" spans="1:31" ht="12.9" x14ac:dyDescent="0.5">
      <c r="A44" s="56"/>
      <c r="B44" s="56"/>
      <c r="C44" s="4"/>
      <c r="D44" s="4"/>
      <c r="E44" s="4"/>
      <c r="F44" s="4"/>
      <c r="G44" s="4"/>
      <c r="H44" s="104"/>
      <c r="I44" s="105"/>
      <c r="J44" s="105"/>
      <c r="K44" s="105"/>
      <c r="L44" s="105"/>
      <c r="M44" s="105"/>
      <c r="N44" s="105"/>
      <c r="O44" s="105"/>
      <c r="P44" s="105"/>
      <c r="Q44" s="105"/>
      <c r="R44" s="105"/>
      <c r="S44" s="105"/>
      <c r="T44" s="105"/>
      <c r="U44" s="105"/>
      <c r="V44" s="105"/>
      <c r="W44" s="105"/>
      <c r="X44" s="105"/>
      <c r="Y44" s="105"/>
      <c r="Z44" s="97"/>
      <c r="AA44" s="104"/>
      <c r="AB44" s="104"/>
      <c r="AC44" s="104"/>
      <c r="AD44" s="104"/>
      <c r="AE44" s="104"/>
    </row>
    <row r="45" spans="1:31" ht="12.9" x14ac:dyDescent="0.5">
      <c r="A45" s="43" t="s">
        <v>153</v>
      </c>
      <c r="B45" s="56"/>
      <c r="C45" s="4"/>
      <c r="D45" s="4"/>
      <c r="E45" s="4"/>
      <c r="F45" s="4"/>
      <c r="G45" s="4"/>
      <c r="H45" s="104"/>
      <c r="I45" s="105"/>
      <c r="J45" s="105"/>
      <c r="K45" s="105"/>
      <c r="L45" s="105"/>
      <c r="M45" s="105"/>
      <c r="N45" s="105"/>
      <c r="O45" s="105"/>
      <c r="P45" s="105"/>
      <c r="Q45" s="105"/>
      <c r="R45" s="105"/>
      <c r="S45" s="105"/>
      <c r="T45" s="105"/>
      <c r="U45" s="105"/>
      <c r="V45" s="105"/>
      <c r="W45" s="105"/>
      <c r="X45" s="105"/>
      <c r="Y45" s="105"/>
      <c r="Z45" s="97"/>
      <c r="AA45" s="104"/>
      <c r="AB45" s="104"/>
      <c r="AC45" s="104"/>
      <c r="AD45" s="104"/>
      <c r="AE45" s="104"/>
    </row>
    <row r="46" spans="1:31" ht="12.9" x14ac:dyDescent="0.5">
      <c r="A46" s="56" t="s">
        <v>91</v>
      </c>
      <c r="B46" s="56"/>
      <c r="C46" s="4"/>
      <c r="D46" s="4"/>
      <c r="E46" s="4"/>
      <c r="F46" s="4"/>
      <c r="G46" s="4"/>
      <c r="H46" s="104">
        <f t="shared" ref="H46:W47" si="11">H17/D17-1</f>
        <v>2.1626193563597784</v>
      </c>
      <c r="I46" s="104">
        <f t="shared" si="11"/>
        <v>3.2007181515403831</v>
      </c>
      <c r="J46" s="104">
        <f t="shared" si="11"/>
        <v>2.3429893005653413</v>
      </c>
      <c r="K46" s="104">
        <f t="shared" si="11"/>
        <v>2.3056184622020921</v>
      </c>
      <c r="L46" s="104">
        <f t="shared" si="11"/>
        <v>1.0677637586894533</v>
      </c>
      <c r="M46" s="104">
        <f t="shared" si="11"/>
        <v>0.27837861275256759</v>
      </c>
      <c r="N46" s="104">
        <f t="shared" si="11"/>
        <v>0.44993710691823896</v>
      </c>
      <c r="O46" s="104">
        <f t="shared" si="11"/>
        <v>0.18793157820332973</v>
      </c>
      <c r="P46" s="104">
        <f t="shared" si="11"/>
        <v>4.6128886885984599E-2</v>
      </c>
      <c r="Q46" s="104">
        <f t="shared" si="11"/>
        <v>0.14794751531126438</v>
      </c>
      <c r="R46" s="104">
        <f t="shared" si="11"/>
        <v>0.17986755732916926</v>
      </c>
      <c r="S46" s="104">
        <f t="shared" si="11"/>
        <v>0.23271482318909564</v>
      </c>
      <c r="T46" s="104">
        <f t="shared" si="11"/>
        <v>0.15226418995761115</v>
      </c>
      <c r="U46" s="104">
        <f t="shared" si="11"/>
        <v>1.9618602216800785E-2</v>
      </c>
      <c r="V46" s="104">
        <f t="shared" si="11"/>
        <v>-0.10958064753314867</v>
      </c>
      <c r="W46" s="104">
        <f t="shared" si="11"/>
        <v>-0.18893831267683026</v>
      </c>
      <c r="X46" s="104">
        <v>-0.26042126199146109</v>
      </c>
      <c r="Y46" s="104"/>
      <c r="Z46" s="97"/>
      <c r="AA46" s="104">
        <f t="shared" ref="AA46:AE47" si="12">AA17/Z17-1</f>
        <v>0.70584103944750098</v>
      </c>
      <c r="AB46" s="104">
        <f t="shared" si="12"/>
        <v>2.2079462018801892</v>
      </c>
      <c r="AC46" s="104">
        <f t="shared" si="12"/>
        <v>0.7533658185987413</v>
      </c>
      <c r="AD46" s="104">
        <f t="shared" si="12"/>
        <v>0.13743521925415525</v>
      </c>
      <c r="AE46" s="104">
        <f t="shared" si="12"/>
        <v>6.8655064343341898E-2</v>
      </c>
    </row>
    <row r="47" spans="1:31" ht="12.9" x14ac:dyDescent="0.5">
      <c r="A47" s="56" t="s">
        <v>92</v>
      </c>
      <c r="B47" s="56"/>
      <c r="C47" s="4"/>
      <c r="D47" s="4"/>
      <c r="E47" s="4"/>
      <c r="F47" s="4"/>
      <c r="G47" s="4"/>
      <c r="H47" s="104">
        <f t="shared" si="11"/>
        <v>1.2893568159943265</v>
      </c>
      <c r="I47" s="104">
        <f t="shared" si="11"/>
        <v>1.537713470785945</v>
      </c>
      <c r="J47" s="104">
        <f t="shared" si="11"/>
        <v>1.1281247294271894</v>
      </c>
      <c r="K47" s="104">
        <f t="shared" si="11"/>
        <v>1.2536533746289842</v>
      </c>
      <c r="L47" s="104">
        <f t="shared" si="11"/>
        <v>0.82531457906149974</v>
      </c>
      <c r="M47" s="104">
        <f t="shared" si="11"/>
        <v>0.34076416932591558</v>
      </c>
      <c r="N47" s="104">
        <f t="shared" si="11"/>
        <v>0.41437933188997533</v>
      </c>
      <c r="O47" s="104">
        <f t="shared" si="11"/>
        <v>0.57399980301839948</v>
      </c>
      <c r="P47" s="104">
        <f t="shared" si="11"/>
        <v>0.66532139934740231</v>
      </c>
      <c r="Q47" s="104">
        <f t="shared" si="11"/>
        <v>0.91381972205957318</v>
      </c>
      <c r="R47" s="104">
        <f t="shared" si="11"/>
        <v>1.1218668776132898</v>
      </c>
      <c r="S47" s="104">
        <f t="shared" si="11"/>
        <v>0.57998140255038266</v>
      </c>
      <c r="T47" s="104">
        <f t="shared" si="11"/>
        <v>0.39344974324910442</v>
      </c>
      <c r="U47" s="104">
        <f t="shared" si="11"/>
        <v>0.28715623742969565</v>
      </c>
      <c r="V47" s="104">
        <f t="shared" si="11"/>
        <v>0.24078098037962548</v>
      </c>
      <c r="W47" s="104">
        <f t="shared" si="11"/>
        <v>0.22731865283781061</v>
      </c>
      <c r="X47" s="104">
        <v>0.23476011512001538</v>
      </c>
      <c r="Y47" s="104"/>
      <c r="Z47" s="97"/>
      <c r="AA47" s="104">
        <f t="shared" si="12"/>
        <v>1.3379736345151461</v>
      </c>
      <c r="AB47" s="104">
        <f t="shared" si="12"/>
        <v>1.2528875450588743</v>
      </c>
      <c r="AC47" s="104">
        <f t="shared" si="12"/>
        <v>0.6275595479650864</v>
      </c>
      <c r="AD47" s="104">
        <f t="shared" si="12"/>
        <v>0.82396323734500854</v>
      </c>
      <c r="AE47" s="104">
        <f t="shared" si="12"/>
        <v>0.35693906672802789</v>
      </c>
    </row>
    <row r="48" spans="1:31" ht="12.9" x14ac:dyDescent="0.5">
      <c r="A48" s="56" t="s">
        <v>93</v>
      </c>
      <c r="B48" s="56"/>
      <c r="C48" s="4"/>
      <c r="D48" s="4"/>
      <c r="E48" s="4"/>
      <c r="F48" s="4"/>
      <c r="G48" s="4"/>
      <c r="H48" s="104"/>
      <c r="I48" s="104"/>
      <c r="J48" s="104"/>
      <c r="K48" s="104"/>
      <c r="L48" s="104"/>
      <c r="M48" s="104"/>
      <c r="N48" s="104"/>
      <c r="O48" s="104"/>
      <c r="P48" s="104"/>
      <c r="Q48" s="104"/>
      <c r="R48" s="104"/>
      <c r="S48" s="104"/>
      <c r="T48" s="104"/>
      <c r="U48" s="104"/>
      <c r="V48" s="104"/>
      <c r="W48" s="104"/>
      <c r="X48" s="104"/>
      <c r="Y48" s="104"/>
      <c r="Z48" s="97"/>
      <c r="AA48" s="104"/>
      <c r="AB48" s="104"/>
      <c r="AC48" s="104"/>
      <c r="AD48" s="104"/>
      <c r="AE48" s="104"/>
    </row>
    <row r="49" spans="1:31" ht="12.9" x14ac:dyDescent="0.5">
      <c r="A49" s="56" t="s">
        <v>94</v>
      </c>
      <c r="B49" s="56"/>
      <c r="C49" s="4"/>
      <c r="D49" s="4"/>
      <c r="E49" s="4"/>
      <c r="F49" s="4"/>
      <c r="G49" s="4"/>
      <c r="H49" s="104">
        <f t="shared" ref="H49:W52" si="13">H20/D20-1</f>
        <v>5.9988887556461608</v>
      </c>
      <c r="I49" s="104">
        <f t="shared" si="13"/>
        <v>10.017729372492161</v>
      </c>
      <c r="J49" s="104">
        <f t="shared" si="13"/>
        <v>8.8904920396244798</v>
      </c>
      <c r="K49" s="104">
        <f t="shared" si="13"/>
        <v>10.470404903004919</v>
      </c>
      <c r="L49" s="104">
        <f t="shared" si="13"/>
        <v>2.1118594195482125</v>
      </c>
      <c r="M49" s="104">
        <f t="shared" si="13"/>
        <v>0.11133676589764496</v>
      </c>
      <c r="N49" s="104">
        <f t="shared" si="13"/>
        <v>0.11695312388788448</v>
      </c>
      <c r="O49" s="104">
        <f t="shared" si="13"/>
        <v>-0.50704657386299545</v>
      </c>
      <c r="P49" s="104">
        <f t="shared" si="13"/>
        <v>-0.34445999994126919</v>
      </c>
      <c r="Q49" s="104">
        <f t="shared" si="13"/>
        <v>-2.9140886354398599E-2</v>
      </c>
      <c r="R49" s="104">
        <f t="shared" si="13"/>
        <v>-6.5351563834196269E-2</v>
      </c>
      <c r="S49" s="104">
        <f t="shared" si="13"/>
        <v>0.25015007571673786</v>
      </c>
      <c r="T49" s="104">
        <f t="shared" si="13"/>
        <v>0.33876705386965011</v>
      </c>
      <c r="U49" s="104">
        <f t="shared" si="13"/>
        <v>0.37488654104491159</v>
      </c>
      <c r="V49" s="104">
        <f t="shared" si="13"/>
        <v>0.37452125147128923</v>
      </c>
      <c r="W49" s="104">
        <f t="shared" si="13"/>
        <v>0.26221732537616393</v>
      </c>
      <c r="X49" s="104">
        <v>9.2375456107448128E-2</v>
      </c>
      <c r="Y49" s="104"/>
      <c r="Z49" s="97"/>
      <c r="AA49" s="104">
        <f t="shared" ref="AA49:AE52" si="14">AA20/Z20-1</f>
        <v>2.1015752145426592</v>
      </c>
      <c r="AB49" s="104">
        <f t="shared" si="14"/>
        <v>7.8516027223529186</v>
      </c>
      <c r="AC49" s="104">
        <f t="shared" si="14"/>
        <v>1.1902117075131962</v>
      </c>
      <c r="AD49" s="104">
        <f t="shared" si="14"/>
        <v>-0.28961282665812549</v>
      </c>
      <c r="AE49" s="104">
        <f t="shared" si="14"/>
        <v>0.33537105207809637</v>
      </c>
    </row>
    <row r="50" spans="1:31" ht="12.9" x14ac:dyDescent="0.5">
      <c r="A50" s="56" t="s">
        <v>90</v>
      </c>
      <c r="B50" s="56"/>
      <c r="C50" s="4"/>
      <c r="D50" s="4"/>
      <c r="E50" s="4"/>
      <c r="F50" s="4"/>
      <c r="G50" s="4"/>
      <c r="H50" s="104">
        <f t="shared" si="13"/>
        <v>3.607682356147766</v>
      </c>
      <c r="I50" s="104">
        <f t="shared" si="13"/>
        <v>5.7372166492965082</v>
      </c>
      <c r="J50" s="104">
        <f t="shared" si="13"/>
        <v>5.0218929529978045</v>
      </c>
      <c r="K50" s="104">
        <f t="shared" si="13"/>
        <v>6.6559788644573405</v>
      </c>
      <c r="L50" s="104">
        <f t="shared" si="13"/>
        <v>1.7745372079092272</v>
      </c>
      <c r="M50" s="104">
        <f t="shared" si="13"/>
        <v>0.15712935591548849</v>
      </c>
      <c r="N50" s="104">
        <f t="shared" si="13"/>
        <v>0.1750465034900639</v>
      </c>
      <c r="O50" s="104">
        <f t="shared" si="13"/>
        <v>-0.37438979348532142</v>
      </c>
      <c r="P50" s="104">
        <f t="shared" si="13"/>
        <v>-0.18136962714751192</v>
      </c>
      <c r="Q50" s="104">
        <f t="shared" si="13"/>
        <v>0.1655302485929333</v>
      </c>
      <c r="R50" s="104">
        <f t="shared" si="13"/>
        <v>0.17102693510340661</v>
      </c>
      <c r="S50" s="104">
        <f t="shared" si="13"/>
        <v>0.33908259058849133</v>
      </c>
      <c r="T50" s="104">
        <f t="shared" si="13"/>
        <v>0.347359534560159</v>
      </c>
      <c r="U50" s="104">
        <f t="shared" si="13"/>
        <v>0.3312283220910941</v>
      </c>
      <c r="V50" s="104">
        <f t="shared" si="13"/>
        <v>0.30847898181414224</v>
      </c>
      <c r="W50" s="104">
        <f t="shared" si="13"/>
        <v>0.23306826532882718</v>
      </c>
      <c r="X50" s="104">
        <v>0.12405144826716907</v>
      </c>
      <c r="Y50" s="104"/>
      <c r="Z50" s="97"/>
      <c r="AA50" s="104">
        <f t="shared" si="14"/>
        <v>1.5708555496906182</v>
      </c>
      <c r="AB50" s="104">
        <f t="shared" si="14"/>
        <v>4.3983279652025731</v>
      </c>
      <c r="AC50" s="104">
        <f t="shared" si="14"/>
        <v>1.0634555137687141</v>
      </c>
      <c r="AD50" s="104">
        <f t="shared" si="14"/>
        <v>-0.10423410370948027</v>
      </c>
      <c r="AE50" s="104">
        <f t="shared" si="14"/>
        <v>0.33085087443540506</v>
      </c>
    </row>
    <row r="51" spans="1:31" ht="12.9" x14ac:dyDescent="0.5">
      <c r="A51" s="56" t="s">
        <v>96</v>
      </c>
      <c r="B51" s="56"/>
      <c r="C51" s="4"/>
      <c r="D51" s="4"/>
      <c r="E51" s="4"/>
      <c r="F51" s="4"/>
      <c r="G51" s="4"/>
      <c r="H51" s="104">
        <f t="shared" si="13"/>
        <v>4.9245514076518511</v>
      </c>
      <c r="I51" s="104">
        <f t="shared" si="13"/>
        <v>8.1717297739035679</v>
      </c>
      <c r="J51" s="104">
        <f t="shared" si="13"/>
        <v>7.2867317829743623</v>
      </c>
      <c r="K51" s="104">
        <f t="shared" si="13"/>
        <v>9.275524049752109</v>
      </c>
      <c r="L51" s="104">
        <f t="shared" si="13"/>
        <v>2.0288509866123587</v>
      </c>
      <c r="M51" s="104">
        <f t="shared" si="13"/>
        <v>0.11787847845314836</v>
      </c>
      <c r="N51" s="104">
        <f t="shared" si="13"/>
        <v>0.13326827170582334</v>
      </c>
      <c r="O51" s="104">
        <f t="shared" si="13"/>
        <v>-0.47591511148995336</v>
      </c>
      <c r="P51" s="104">
        <f t="shared" si="13"/>
        <v>-0.30086852735029657</v>
      </c>
      <c r="Q51" s="104">
        <f t="shared" si="13"/>
        <v>3.1138212332537663E-2</v>
      </c>
      <c r="R51" s="104">
        <f t="shared" si="13"/>
        <v>3.8703011648750785E-3</v>
      </c>
      <c r="S51" s="104">
        <f t="shared" si="13"/>
        <v>0.27822569465101021</v>
      </c>
      <c r="T51" s="104">
        <f t="shared" si="13"/>
        <v>0.34647287396187521</v>
      </c>
      <c r="U51" s="104">
        <f t="shared" si="13"/>
        <v>0.35862790067896899</v>
      </c>
      <c r="V51" s="104">
        <f t="shared" si="13"/>
        <v>0.33508361238402395</v>
      </c>
      <c r="W51" s="104">
        <f t="shared" si="13"/>
        <v>0.22751493234167675</v>
      </c>
      <c r="X51" s="104">
        <v>7.974514671691435E-2</v>
      </c>
      <c r="Y51" s="104"/>
      <c r="Z51" s="97"/>
      <c r="AA51" s="104">
        <f t="shared" si="14"/>
        <v>1.7546212842663764</v>
      </c>
      <c r="AB51" s="104">
        <f t="shared" si="14"/>
        <v>6.3199275848817233</v>
      </c>
      <c r="AC51" s="104">
        <f t="shared" si="14"/>
        <v>1.1600393690826194</v>
      </c>
      <c r="AD51" s="104">
        <f t="shared" si="14"/>
        <v>-0.23991952093638713</v>
      </c>
      <c r="AE51" s="104">
        <f t="shared" si="14"/>
        <v>0.33023529683719555</v>
      </c>
    </row>
    <row r="52" spans="1:31" ht="12.9" x14ac:dyDescent="0.5">
      <c r="A52" s="56" t="s">
        <v>156</v>
      </c>
      <c r="B52" s="56"/>
      <c r="C52" s="4"/>
      <c r="D52" s="4"/>
      <c r="E52" s="4"/>
      <c r="F52" s="4"/>
      <c r="G52" s="4"/>
      <c r="H52" s="104">
        <f t="shared" si="13"/>
        <v>1.6681254212509851</v>
      </c>
      <c r="I52" s="104">
        <f t="shared" si="13"/>
        <v>2.1186654789861525</v>
      </c>
      <c r="J52" s="104">
        <f t="shared" si="13"/>
        <v>1.6152153083471039</v>
      </c>
      <c r="K52" s="104">
        <f t="shared" si="13"/>
        <v>1.711539303460806</v>
      </c>
      <c r="L52" s="104">
        <f t="shared" si="13"/>
        <v>0.94281353290899195</v>
      </c>
      <c r="M52" s="104">
        <f t="shared" si="13"/>
        <v>0.32870452114124271</v>
      </c>
      <c r="N52" s="104">
        <f t="shared" si="13"/>
        <v>0.37416867776954743</v>
      </c>
      <c r="O52" s="104">
        <f t="shared" si="13"/>
        <v>0.3518058064320817</v>
      </c>
      <c r="P52" s="104">
        <f t="shared" si="13"/>
        <v>0.42791450646732088</v>
      </c>
      <c r="Q52" s="104">
        <f t="shared" si="13"/>
        <v>0.65977808002876603</v>
      </c>
      <c r="R52" s="104">
        <f t="shared" si="13"/>
        <v>0.82805795287030537</v>
      </c>
      <c r="S52" s="104">
        <f t="shared" si="13"/>
        <v>0.50784525817054216</v>
      </c>
      <c r="T52" s="104">
        <f t="shared" si="13"/>
        <v>0.34957298609623755</v>
      </c>
      <c r="U52" s="104">
        <f t="shared" si="13"/>
        <v>0.26862722011926987</v>
      </c>
      <c r="V52" s="104">
        <f t="shared" si="13"/>
        <v>0.25105317113898895</v>
      </c>
      <c r="W52" s="104">
        <f t="shared" si="13"/>
        <v>0.24612309075462835</v>
      </c>
      <c r="X52" s="104">
        <v>0.23440322726257623</v>
      </c>
      <c r="Y52" s="104"/>
      <c r="Z52" s="97"/>
      <c r="AA52" s="104">
        <f t="shared" si="14"/>
        <v>1.3490030025406115</v>
      </c>
      <c r="AB52" s="104">
        <f t="shared" si="14"/>
        <v>1.6778756653294526</v>
      </c>
      <c r="AC52" s="104">
        <f t="shared" si="14"/>
        <v>0.68969008908449725</v>
      </c>
      <c r="AD52" s="104">
        <f t="shared" si="14"/>
        <v>0.56701291790267461</v>
      </c>
      <c r="AE52" s="104">
        <f t="shared" si="14"/>
        <v>0.33232800541379404</v>
      </c>
    </row>
    <row r="53" spans="1:31" ht="12.9" x14ac:dyDescent="0.5">
      <c r="A53" s="2"/>
      <c r="B53" s="2"/>
      <c r="C53" s="70"/>
      <c r="D53" s="70"/>
      <c r="E53" s="70"/>
      <c r="F53" s="70"/>
      <c r="G53" s="70"/>
      <c r="H53" s="102"/>
      <c r="I53" s="1"/>
      <c r="J53" s="1"/>
      <c r="K53" s="1"/>
      <c r="L53" s="1"/>
      <c r="Z53" s="70"/>
      <c r="AA53" s="70"/>
      <c r="AB53" s="102"/>
      <c r="AC53" s="102"/>
      <c r="AD53" s="102"/>
      <c r="AE53" s="102"/>
    </row>
    <row r="54" spans="1:31" ht="12.9" x14ac:dyDescent="0.5">
      <c r="A54" s="43" t="s">
        <v>154</v>
      </c>
      <c r="B54" s="2"/>
      <c r="C54" s="70"/>
      <c r="D54" s="70"/>
      <c r="E54" s="70"/>
      <c r="F54" s="70"/>
      <c r="G54" s="70"/>
      <c r="H54" s="102"/>
      <c r="I54" s="1"/>
      <c r="J54" s="1"/>
      <c r="K54" s="1"/>
      <c r="L54" s="1"/>
      <c r="Z54" s="70"/>
      <c r="AA54" s="70"/>
      <c r="AB54" s="102"/>
      <c r="AC54" s="102"/>
      <c r="AD54" s="102"/>
      <c r="AE54" s="102"/>
    </row>
    <row r="55" spans="1:31" ht="12.9" x14ac:dyDescent="0.5">
      <c r="A55" s="56" t="s">
        <v>91</v>
      </c>
      <c r="B55" s="2"/>
      <c r="C55" s="70"/>
      <c r="D55" s="70"/>
      <c r="E55" s="70"/>
      <c r="F55" s="70"/>
      <c r="G55" s="70"/>
      <c r="H55" s="102"/>
      <c r="I55" s="1"/>
      <c r="J55" s="1"/>
      <c r="K55" s="1"/>
      <c r="L55" s="1"/>
      <c r="M55" s="4"/>
      <c r="N55" s="4"/>
      <c r="O55" s="4"/>
      <c r="P55" s="4"/>
      <c r="Q55" s="4"/>
      <c r="R55" s="4"/>
      <c r="S55" s="4"/>
      <c r="T55" s="4"/>
      <c r="U55" s="4"/>
      <c r="V55" s="4"/>
      <c r="W55" s="4"/>
      <c r="X55" s="4"/>
      <c r="Y55" s="4"/>
      <c r="Z55" s="70"/>
      <c r="AA55" s="70"/>
      <c r="AB55" s="102"/>
      <c r="AC55" s="103"/>
      <c r="AD55" s="103"/>
      <c r="AE55" s="103"/>
    </row>
    <row r="56" spans="1:31" ht="12.9" x14ac:dyDescent="0.5">
      <c r="A56" s="56" t="s">
        <v>92</v>
      </c>
      <c r="B56" s="2"/>
      <c r="C56" s="70"/>
      <c r="D56" s="70"/>
      <c r="E56" s="70"/>
      <c r="F56" s="70"/>
      <c r="G56" s="70"/>
      <c r="H56" s="102"/>
      <c r="I56" s="1"/>
      <c r="J56" s="1"/>
      <c r="K56" s="1"/>
      <c r="L56" s="1"/>
      <c r="M56" s="4"/>
      <c r="N56" s="4"/>
      <c r="O56" s="4"/>
      <c r="P56" s="104">
        <f t="shared" ref="P56:W56" si="15">P27/L27-1</f>
        <v>0.45772318108378429</v>
      </c>
      <c r="Q56" s="104">
        <f t="shared" si="15"/>
        <v>-2.6279271465741494E-2</v>
      </c>
      <c r="R56" s="104">
        <f t="shared" si="15"/>
        <v>-0.31662269129287601</v>
      </c>
      <c r="S56" s="104">
        <f t="shared" si="15"/>
        <v>-7.3372651012857615E-2</v>
      </c>
      <c r="T56" s="104">
        <f t="shared" si="15"/>
        <v>-0.11896342428880557</v>
      </c>
      <c r="U56" s="104">
        <f t="shared" si="15"/>
        <v>-0.1060301059944776</v>
      </c>
      <c r="V56" s="104">
        <f t="shared" si="15"/>
        <v>0.30538701967273396</v>
      </c>
      <c r="W56" s="104">
        <f t="shared" si="15"/>
        <v>5.7795698924731242E-2</v>
      </c>
      <c r="X56" s="104">
        <v>-5.9406138301483669E-2</v>
      </c>
      <c r="Y56" s="104"/>
      <c r="Z56" s="70"/>
      <c r="AA56" s="70"/>
      <c r="AB56" s="102"/>
      <c r="AC56" s="103"/>
      <c r="AD56" s="104">
        <f>AD30/AC30-1</f>
        <v>0.34977290031242614</v>
      </c>
      <c r="AE56" s="104">
        <f>AE30/AD30-1</f>
        <v>-2.4765859778454247E-2</v>
      </c>
    </row>
    <row r="57" spans="1:31" ht="12.9" x14ac:dyDescent="0.5">
      <c r="A57" s="56" t="s">
        <v>93</v>
      </c>
      <c r="B57" s="2"/>
      <c r="C57" s="70"/>
      <c r="D57" s="70"/>
      <c r="E57" s="70"/>
      <c r="F57" s="70"/>
      <c r="G57" s="70"/>
      <c r="H57" s="102"/>
      <c r="I57" s="1"/>
      <c r="J57" s="1"/>
      <c r="K57" s="1"/>
      <c r="L57" s="1"/>
      <c r="M57" s="4"/>
      <c r="N57" s="4"/>
      <c r="O57" s="4"/>
      <c r="P57" s="4"/>
      <c r="Q57" s="4"/>
      <c r="R57" s="4"/>
      <c r="S57" s="4"/>
      <c r="T57" s="4"/>
      <c r="U57" s="4"/>
      <c r="V57" s="4"/>
      <c r="W57" s="4" t="s">
        <v>157</v>
      </c>
      <c r="X57" s="4" t="s">
        <v>157</v>
      </c>
      <c r="Y57" s="4"/>
      <c r="Z57" s="70"/>
      <c r="AA57" s="70"/>
      <c r="AB57" s="102"/>
      <c r="AC57" s="103"/>
      <c r="AD57" s="103"/>
      <c r="AE57" s="103"/>
    </row>
    <row r="58" spans="1:31" ht="12.9" x14ac:dyDescent="0.5">
      <c r="A58" s="56" t="s">
        <v>94</v>
      </c>
      <c r="B58" s="2"/>
      <c r="C58" s="70"/>
      <c r="D58" s="70"/>
      <c r="E58" s="70"/>
      <c r="F58" s="70"/>
      <c r="G58" s="70"/>
      <c r="H58" s="102"/>
      <c r="I58" s="1"/>
      <c r="J58" s="1"/>
      <c r="K58" s="1"/>
      <c r="L58" s="1"/>
      <c r="M58" s="4"/>
      <c r="N58" s="4"/>
      <c r="O58" s="4"/>
      <c r="P58" s="4"/>
      <c r="Q58" s="4"/>
      <c r="R58" s="4"/>
      <c r="S58" s="4"/>
      <c r="T58" s="4"/>
      <c r="U58" s="4"/>
      <c r="V58" s="4"/>
      <c r="W58" s="4"/>
      <c r="X58" s="4"/>
      <c r="Y58" s="4"/>
      <c r="Z58" s="70"/>
      <c r="AA58" s="70"/>
      <c r="AB58" s="102"/>
      <c r="AC58" s="103"/>
      <c r="AD58" s="103"/>
      <c r="AE58" s="103"/>
    </row>
    <row r="59" spans="1:31" ht="12.9" x14ac:dyDescent="0.5">
      <c r="A59" s="56" t="s">
        <v>90</v>
      </c>
      <c r="B59" s="2"/>
      <c r="C59" s="70"/>
      <c r="D59" s="70"/>
      <c r="E59" s="70"/>
      <c r="F59" s="70"/>
      <c r="G59" s="70"/>
      <c r="H59" s="102"/>
      <c r="I59" s="1"/>
      <c r="J59" s="1"/>
      <c r="K59" s="1"/>
      <c r="L59" s="1"/>
      <c r="M59" s="4"/>
      <c r="N59" s="4"/>
      <c r="O59" s="4"/>
      <c r="P59" s="104">
        <f t="shared" ref="P59:W61" si="16">P30/L30-1</f>
        <v>0.45772318108378429</v>
      </c>
      <c r="Q59" s="104">
        <f t="shared" si="16"/>
        <v>-2.6279271465741494E-2</v>
      </c>
      <c r="R59" s="104">
        <f t="shared" si="16"/>
        <v>-0.31662269129287601</v>
      </c>
      <c r="S59" s="104">
        <f t="shared" si="16"/>
        <v>-7.3372651012857615E-2</v>
      </c>
      <c r="T59" s="104">
        <f t="shared" si="16"/>
        <v>-0.11896342428880557</v>
      </c>
      <c r="U59" s="104">
        <f t="shared" si="16"/>
        <v>-0.1060301059944776</v>
      </c>
      <c r="V59" s="104">
        <f t="shared" si="16"/>
        <v>0.30538701967273396</v>
      </c>
      <c r="W59" s="104">
        <f t="shared" si="16"/>
        <v>7.1058665401644516E-2</v>
      </c>
      <c r="X59" s="104">
        <v>-5.6570618422891794E-2</v>
      </c>
      <c r="Y59" s="104"/>
      <c r="Z59" s="70"/>
      <c r="AA59" s="70"/>
      <c r="AB59" s="102"/>
      <c r="AC59" s="103"/>
      <c r="AD59" s="104">
        <f t="shared" ref="AD59:AE61" si="17">AD30/AC30-1</f>
        <v>0.34977290031242614</v>
      </c>
      <c r="AE59" s="104">
        <f t="shared" si="17"/>
        <v>-2.4765859778454247E-2</v>
      </c>
    </row>
    <row r="60" spans="1:31" ht="12.9" x14ac:dyDescent="0.5">
      <c r="A60" s="56" t="s">
        <v>96</v>
      </c>
      <c r="B60" s="2"/>
      <c r="C60" s="70"/>
      <c r="D60" s="70"/>
      <c r="E60" s="70"/>
      <c r="F60" s="70"/>
      <c r="G60" s="70"/>
      <c r="H60" s="102"/>
      <c r="I60" s="1"/>
      <c r="J60" s="1"/>
      <c r="K60" s="1"/>
      <c r="L60" s="1"/>
      <c r="M60" s="4"/>
      <c r="N60" s="4"/>
      <c r="O60" s="4"/>
      <c r="P60" s="104">
        <f t="shared" si="16"/>
        <v>0.63209588241354453</v>
      </c>
      <c r="Q60" s="104">
        <f t="shared" si="16"/>
        <v>9.6915779786204803E-2</v>
      </c>
      <c r="R60" s="104">
        <f t="shared" si="16"/>
        <v>-0.4403871897847802</v>
      </c>
      <c r="S60" s="104">
        <f t="shared" si="16"/>
        <v>-0.15712745406352491</v>
      </c>
      <c r="T60" s="104">
        <f t="shared" si="16"/>
        <v>-0.15210941609679118</v>
      </c>
      <c r="U60" s="104">
        <f t="shared" si="16"/>
        <v>-0.25649685913432574</v>
      </c>
      <c r="V60" s="104">
        <f t="shared" si="16"/>
        <v>0.30277491535404089</v>
      </c>
      <c r="W60" s="104">
        <f t="shared" si="16"/>
        <v>2.6383817925005992E-2</v>
      </c>
      <c r="X60" s="104">
        <v>-0.12413142743696648</v>
      </c>
      <c r="Y60" s="104"/>
      <c r="Z60" s="70"/>
      <c r="AA60" s="70"/>
      <c r="AB60" s="102"/>
      <c r="AC60" s="103"/>
      <c r="AD60" s="104">
        <f t="shared" si="17"/>
        <v>0.38023839868056086</v>
      </c>
      <c r="AE60" s="104">
        <f t="shared" si="17"/>
        <v>-0.10811773154937565</v>
      </c>
    </row>
    <row r="61" spans="1:31" ht="12.9" x14ac:dyDescent="0.5">
      <c r="A61" s="56" t="s">
        <v>156</v>
      </c>
      <c r="B61" s="2"/>
      <c r="C61" s="70"/>
      <c r="D61" s="70"/>
      <c r="E61" s="70"/>
      <c r="F61" s="70"/>
      <c r="G61" s="70"/>
      <c r="H61" s="102"/>
      <c r="I61" s="1"/>
      <c r="J61" s="1"/>
      <c r="K61" s="1"/>
      <c r="L61" s="1"/>
      <c r="M61" s="4"/>
      <c r="N61" s="4"/>
      <c r="O61" s="4"/>
      <c r="P61" s="104">
        <f t="shared" si="16"/>
        <v>-5.6512051853352285E-2</v>
      </c>
      <c r="Q61" s="104">
        <f t="shared" si="16"/>
        <v>-0.36810056963268512</v>
      </c>
      <c r="R61" s="104">
        <f t="shared" si="16"/>
        <v>0.52291142777312105</v>
      </c>
      <c r="S61" s="104">
        <f t="shared" si="16"/>
        <v>0.29652777777777772</v>
      </c>
      <c r="T61" s="104">
        <f t="shared" si="16"/>
        <v>5.0128810648346844E-2</v>
      </c>
      <c r="U61" s="104">
        <f t="shared" si="16"/>
        <v>0.61869236348564915</v>
      </c>
      <c r="V61" s="104">
        <f t="shared" si="16"/>
        <v>0.31189799100999904</v>
      </c>
      <c r="W61" s="104">
        <f t="shared" si="16"/>
        <v>0.19932665085316392</v>
      </c>
      <c r="X61" s="104">
        <v>0.22171113155473776</v>
      </c>
      <c r="Y61" s="104"/>
      <c r="Z61" s="70"/>
      <c r="AA61" s="70"/>
      <c r="AB61" s="102"/>
      <c r="AC61" s="103"/>
      <c r="AD61" s="104">
        <f t="shared" si="17"/>
        <v>0.23655780838879426</v>
      </c>
      <c r="AE61" s="104">
        <f t="shared" si="17"/>
        <v>0.32097529226224752</v>
      </c>
    </row>
    <row r="62" spans="1:31" ht="12.9" x14ac:dyDescent="0.5">
      <c r="A62" s="2"/>
      <c r="B62" s="2"/>
      <c r="C62" s="70"/>
      <c r="D62" s="70"/>
      <c r="E62" s="70"/>
      <c r="F62" s="70"/>
      <c r="G62" s="70"/>
      <c r="H62" s="102"/>
      <c r="I62" s="1"/>
      <c r="J62" s="1"/>
      <c r="K62" s="1"/>
      <c r="L62" s="1"/>
      <c r="M62" s="29"/>
      <c r="N62" s="29"/>
      <c r="O62" s="29"/>
      <c r="P62" s="29"/>
      <c r="Q62" s="29"/>
      <c r="R62" s="29"/>
      <c r="S62" s="29"/>
      <c r="T62" s="29"/>
      <c r="U62" s="29"/>
      <c r="V62" s="29"/>
      <c r="W62" s="29"/>
      <c r="X62" s="29"/>
      <c r="Y62" s="29"/>
      <c r="Z62" s="70"/>
      <c r="AA62" s="70"/>
      <c r="AB62" s="102"/>
      <c r="AC62" s="102"/>
      <c r="AD62" s="102"/>
      <c r="AE62" s="102"/>
    </row>
    <row r="63" spans="1:31" ht="45.9" x14ac:dyDescent="0.5">
      <c r="A63" s="64" t="s">
        <v>158</v>
      </c>
      <c r="B63" s="2"/>
      <c r="C63" s="70"/>
      <c r="D63" s="70"/>
      <c r="E63" s="70"/>
      <c r="F63" s="70"/>
      <c r="G63" s="70"/>
      <c r="H63" s="102"/>
      <c r="I63" s="1"/>
      <c r="J63" s="1"/>
      <c r="K63" s="1"/>
      <c r="L63" s="1"/>
      <c r="M63" s="29"/>
      <c r="N63" s="29"/>
      <c r="O63" s="29"/>
      <c r="P63" s="29"/>
      <c r="Q63" s="29"/>
      <c r="R63" s="29"/>
      <c r="S63" s="29"/>
      <c r="T63" s="29"/>
      <c r="U63" s="29"/>
      <c r="V63" s="29"/>
      <c r="W63" s="29"/>
      <c r="X63" s="29"/>
      <c r="Y63" s="29"/>
      <c r="Z63" s="70"/>
      <c r="AA63" s="70"/>
      <c r="AB63" s="102"/>
      <c r="AC63" s="102"/>
      <c r="AD63" s="102"/>
      <c r="AE63" s="102"/>
    </row>
    <row r="64" spans="1:31" ht="99.9" x14ac:dyDescent="0.5">
      <c r="A64" s="64" t="s">
        <v>159</v>
      </c>
      <c r="B64" s="2"/>
      <c r="C64" s="70"/>
      <c r="D64" s="70"/>
      <c r="E64" s="70"/>
      <c r="F64" s="70"/>
      <c r="G64" s="70"/>
      <c r="H64" s="102"/>
      <c r="I64" s="1"/>
      <c r="J64" s="1"/>
      <c r="K64" s="1"/>
      <c r="L64" s="1"/>
      <c r="M64" s="29"/>
      <c r="N64" s="29"/>
      <c r="O64" s="29"/>
      <c r="P64" s="29"/>
      <c r="Q64" s="29"/>
      <c r="R64" s="29"/>
      <c r="S64" s="29"/>
      <c r="T64" s="29"/>
      <c r="U64" s="29"/>
      <c r="V64" s="29"/>
      <c r="W64" s="29"/>
      <c r="X64" s="29"/>
      <c r="Y64" s="29"/>
      <c r="Z64" s="70"/>
      <c r="AA64" s="70"/>
      <c r="AB64" s="102"/>
      <c r="AC64" s="102"/>
      <c r="AD64" s="102"/>
      <c r="AE64" s="102"/>
    </row>
    <row r="65" spans="1:31" ht="45.9" x14ac:dyDescent="0.5">
      <c r="A65" s="64" t="s">
        <v>160</v>
      </c>
      <c r="B65" s="2"/>
      <c r="C65" s="70"/>
      <c r="D65" s="70"/>
      <c r="E65" s="70"/>
      <c r="F65" s="70"/>
      <c r="G65" s="70"/>
      <c r="H65" s="102"/>
      <c r="I65" s="1"/>
      <c r="J65" s="1"/>
      <c r="K65" s="1"/>
      <c r="L65" s="1"/>
      <c r="M65" s="29"/>
      <c r="N65" s="29"/>
      <c r="O65" s="29"/>
      <c r="P65" s="29"/>
      <c r="Q65" s="29"/>
      <c r="R65" s="29"/>
      <c r="S65" s="29"/>
      <c r="T65" s="29"/>
      <c r="U65" s="29"/>
      <c r="V65" s="29"/>
      <c r="W65" s="29"/>
      <c r="X65" s="29"/>
      <c r="Y65" s="29"/>
      <c r="Z65" s="70"/>
      <c r="AA65" s="70"/>
      <c r="AB65" s="102"/>
      <c r="AC65" s="102"/>
      <c r="AD65" s="102"/>
      <c r="AE65" s="102"/>
    </row>
    <row r="66" spans="1:31" ht="36.9" x14ac:dyDescent="0.5">
      <c r="A66" s="64" t="s">
        <v>161</v>
      </c>
      <c r="B66" s="2"/>
      <c r="C66" s="70"/>
      <c r="D66" s="70"/>
      <c r="E66" s="70"/>
      <c r="F66" s="70"/>
      <c r="G66" s="70"/>
      <c r="H66" s="102"/>
      <c r="I66" s="1"/>
      <c r="J66" s="1"/>
      <c r="K66" s="1"/>
      <c r="L66" s="1"/>
      <c r="M66" s="29"/>
      <c r="N66" s="29"/>
      <c r="O66" s="29"/>
      <c r="P66" s="29"/>
      <c r="Q66" s="29"/>
      <c r="R66" s="29"/>
      <c r="S66" s="29"/>
      <c r="T66" s="29"/>
      <c r="U66" s="29"/>
      <c r="V66" s="29"/>
      <c r="W66" s="29"/>
      <c r="X66" s="29"/>
      <c r="Y66" s="29"/>
      <c r="Z66" s="70"/>
      <c r="AA66" s="70"/>
      <c r="AB66" s="102"/>
      <c r="AC66" s="102"/>
      <c r="AD66" s="102"/>
      <c r="AE66" s="102"/>
    </row>
    <row r="67" spans="1:31" ht="12.9" x14ac:dyDescent="0.5">
      <c r="B67" s="2"/>
      <c r="C67" s="70"/>
      <c r="D67" s="70"/>
      <c r="E67" s="70"/>
      <c r="F67" s="70"/>
      <c r="G67" s="70"/>
      <c r="H67" s="102"/>
      <c r="I67" s="1"/>
      <c r="J67" s="1"/>
      <c r="K67" s="1"/>
      <c r="L67" s="1"/>
      <c r="M67" s="29"/>
      <c r="N67" s="29"/>
      <c r="O67" s="29"/>
      <c r="P67" s="29"/>
      <c r="Q67" s="29"/>
      <c r="R67" s="29"/>
      <c r="S67" s="29"/>
      <c r="T67" s="29"/>
      <c r="U67" s="29"/>
      <c r="V67" s="29"/>
      <c r="W67" s="29"/>
      <c r="X67" s="29"/>
      <c r="Y67" s="29"/>
      <c r="Z67" s="70"/>
      <c r="AA67" s="70"/>
      <c r="AB67" s="102"/>
      <c r="AC67" s="102"/>
      <c r="AD67" s="102"/>
      <c r="AE67" s="102"/>
    </row>
    <row r="68" spans="1:31" ht="12.9" x14ac:dyDescent="0.5">
      <c r="A68" s="64"/>
      <c r="B68" s="2"/>
      <c r="C68" s="70"/>
      <c r="D68" s="70"/>
      <c r="E68" s="70"/>
      <c r="F68" s="70"/>
      <c r="G68" s="70"/>
      <c r="H68" s="102"/>
      <c r="I68" s="1"/>
      <c r="J68" s="1"/>
      <c r="K68" s="1"/>
      <c r="L68" s="1"/>
      <c r="M68" s="29"/>
      <c r="N68" s="29"/>
      <c r="O68" s="29"/>
      <c r="P68" s="29"/>
      <c r="Q68" s="29"/>
      <c r="R68" s="29"/>
      <c r="S68" s="29"/>
      <c r="T68" s="29"/>
      <c r="U68" s="29"/>
      <c r="V68" s="29"/>
      <c r="W68" s="29"/>
      <c r="X68" s="29"/>
      <c r="Y68" s="29"/>
      <c r="Z68" s="70"/>
      <c r="AA68" s="70"/>
      <c r="AB68" s="102"/>
      <c r="AC68" s="102"/>
      <c r="AD68" s="102"/>
      <c r="AE68" s="102"/>
    </row>
    <row r="69" spans="1:31" ht="12.9" x14ac:dyDescent="0.5">
      <c r="A69" s="64"/>
      <c r="B69" s="2"/>
      <c r="C69" s="70"/>
      <c r="D69" s="70"/>
      <c r="E69" s="70"/>
      <c r="F69" s="70"/>
      <c r="G69" s="70"/>
      <c r="H69" s="102"/>
      <c r="I69" s="1"/>
      <c r="J69" s="1"/>
      <c r="K69" s="1"/>
      <c r="L69" s="1"/>
      <c r="M69" s="29"/>
      <c r="N69" s="29"/>
      <c r="O69" s="29"/>
      <c r="P69" s="29"/>
      <c r="Q69" s="29"/>
      <c r="R69" s="29"/>
      <c r="S69" s="29"/>
      <c r="T69" s="29"/>
      <c r="U69" s="29"/>
      <c r="V69" s="29"/>
      <c r="W69" s="29"/>
      <c r="X69" s="29"/>
      <c r="Y69" s="29"/>
      <c r="Z69" s="70"/>
      <c r="AA69" s="70"/>
      <c r="AB69" s="102"/>
      <c r="AC69" s="102"/>
      <c r="AD69" s="102"/>
      <c r="AE69" s="102"/>
    </row>
    <row r="70" spans="1:31" ht="12.9" x14ac:dyDescent="0.5">
      <c r="A70" s="64"/>
      <c r="B70" s="2"/>
      <c r="C70" s="70"/>
      <c r="D70" s="70"/>
      <c r="E70" s="70"/>
      <c r="F70" s="70"/>
      <c r="G70" s="70"/>
      <c r="H70" s="102"/>
      <c r="I70" s="1"/>
      <c r="J70" s="1"/>
      <c r="K70" s="1"/>
      <c r="L70" s="1"/>
      <c r="M70" s="29"/>
      <c r="N70" s="29"/>
      <c r="O70" s="29"/>
      <c r="P70" s="29"/>
      <c r="Q70" s="29"/>
      <c r="R70" s="29"/>
      <c r="S70" s="29"/>
      <c r="T70" s="29"/>
      <c r="U70" s="29"/>
      <c r="V70" s="29"/>
      <c r="W70" s="29"/>
      <c r="X70" s="29"/>
      <c r="Y70" s="29"/>
      <c r="Z70" s="70"/>
      <c r="AA70" s="70"/>
      <c r="AB70" s="102"/>
      <c r="AC70" s="102"/>
      <c r="AD70" s="102"/>
      <c r="AE70" s="102"/>
    </row>
    <row r="71" spans="1:31" ht="12.9" x14ac:dyDescent="0.5">
      <c r="A71" s="64"/>
      <c r="B71" s="2"/>
      <c r="C71" s="70"/>
      <c r="D71" s="70"/>
      <c r="E71" s="70"/>
      <c r="F71" s="70"/>
      <c r="G71" s="70"/>
      <c r="H71" s="102"/>
      <c r="I71" s="1"/>
      <c r="J71" s="1"/>
      <c r="K71" s="1"/>
      <c r="L71" s="1"/>
      <c r="M71" s="29"/>
      <c r="N71" s="29"/>
      <c r="O71" s="29"/>
      <c r="P71" s="29"/>
      <c r="Q71" s="29"/>
      <c r="R71" s="29"/>
      <c r="S71" s="29"/>
      <c r="T71" s="29"/>
      <c r="U71" s="29"/>
      <c r="V71" s="29"/>
      <c r="W71" s="29"/>
      <c r="X71" s="29"/>
      <c r="Y71" s="29"/>
      <c r="Z71" s="70"/>
      <c r="AA71" s="70"/>
      <c r="AB71" s="102"/>
      <c r="AC71" s="102"/>
      <c r="AD71" s="102"/>
      <c r="AE71" s="102"/>
    </row>
    <row r="72" spans="1:31" ht="12.9" x14ac:dyDescent="0.5">
      <c r="A72" s="64"/>
      <c r="B72" s="2"/>
      <c r="C72" s="70"/>
      <c r="D72" s="70"/>
      <c r="E72" s="70"/>
      <c r="F72" s="70"/>
      <c r="G72" s="70"/>
      <c r="H72" s="102"/>
      <c r="I72" s="1"/>
      <c r="J72" s="1"/>
      <c r="K72" s="1"/>
      <c r="L72" s="1"/>
      <c r="M72" s="29"/>
      <c r="N72" s="29"/>
      <c r="O72" s="29"/>
      <c r="P72" s="29"/>
      <c r="Q72" s="29"/>
      <c r="R72" s="29"/>
      <c r="S72" s="29"/>
      <c r="T72" s="29"/>
      <c r="U72" s="29"/>
      <c r="V72" s="29"/>
      <c r="W72" s="29"/>
      <c r="X72" s="29"/>
      <c r="Y72" s="29"/>
      <c r="Z72" s="70"/>
      <c r="AA72" s="70"/>
      <c r="AB72" s="102"/>
      <c r="AC72" s="102"/>
      <c r="AD72" s="102"/>
      <c r="AE72" s="102"/>
    </row>
    <row r="73" spans="1:31" ht="12.9" x14ac:dyDescent="0.5">
      <c r="A73" s="64"/>
      <c r="B73" s="2"/>
      <c r="C73" s="70"/>
      <c r="D73" s="70"/>
      <c r="E73" s="70"/>
      <c r="F73" s="70"/>
      <c r="G73" s="70"/>
      <c r="H73" s="102"/>
      <c r="I73" s="1"/>
      <c r="J73" s="1"/>
      <c r="K73" s="1"/>
      <c r="L73" s="1"/>
      <c r="M73" s="29"/>
      <c r="N73" s="29"/>
      <c r="O73" s="29"/>
      <c r="P73" s="29"/>
      <c r="Q73" s="29"/>
      <c r="R73" s="29"/>
      <c r="S73" s="29"/>
      <c r="T73" s="29"/>
      <c r="U73" s="29"/>
      <c r="V73" s="29"/>
      <c r="W73" s="29"/>
      <c r="X73" s="29"/>
      <c r="Y73" s="29"/>
      <c r="Z73" s="70"/>
      <c r="AA73" s="70"/>
      <c r="AB73" s="102"/>
      <c r="AC73" s="102"/>
      <c r="AD73" s="102"/>
      <c r="AE73" s="102"/>
    </row>
    <row r="74" spans="1:31" ht="12.9" x14ac:dyDescent="0.5">
      <c r="A74" s="64"/>
      <c r="B74" s="2"/>
      <c r="C74" s="70"/>
      <c r="D74" s="70"/>
      <c r="E74" s="70"/>
      <c r="F74" s="70"/>
      <c r="G74" s="70"/>
      <c r="H74" s="102"/>
      <c r="I74" s="1"/>
      <c r="J74" s="1"/>
      <c r="K74" s="1"/>
      <c r="L74" s="1"/>
      <c r="M74" s="29"/>
      <c r="N74" s="29"/>
      <c r="O74" s="29"/>
      <c r="P74" s="29"/>
      <c r="Q74" s="29"/>
      <c r="R74" s="29"/>
      <c r="S74" s="29"/>
      <c r="T74" s="29"/>
      <c r="U74" s="29"/>
      <c r="V74" s="29"/>
      <c r="W74" s="29"/>
      <c r="X74" s="29"/>
      <c r="Y74" s="29"/>
      <c r="Z74" s="70"/>
      <c r="AA74" s="70"/>
      <c r="AB74" s="102"/>
      <c r="AC74" s="102"/>
      <c r="AD74" s="102"/>
      <c r="AE74" s="102"/>
    </row>
    <row r="75" spans="1:31" ht="12.9" x14ac:dyDescent="0.5">
      <c r="A75" s="64"/>
      <c r="B75" s="2"/>
      <c r="C75" s="70"/>
      <c r="D75" s="70"/>
      <c r="E75" s="70"/>
      <c r="F75" s="70"/>
      <c r="G75" s="70"/>
      <c r="H75" s="102"/>
      <c r="I75" s="1"/>
      <c r="J75" s="1"/>
      <c r="K75" s="1"/>
      <c r="L75" s="1"/>
      <c r="M75" s="29"/>
      <c r="N75" s="29"/>
      <c r="O75" s="29"/>
      <c r="P75" s="29"/>
      <c r="Q75" s="29"/>
      <c r="R75" s="29"/>
      <c r="S75" s="29"/>
      <c r="T75" s="29"/>
      <c r="U75" s="29"/>
      <c r="V75" s="29"/>
      <c r="W75" s="29"/>
      <c r="X75" s="29"/>
      <c r="Y75" s="29"/>
      <c r="Z75" s="70"/>
      <c r="AA75" s="70"/>
      <c r="AB75" s="102"/>
      <c r="AC75" s="102"/>
      <c r="AD75" s="102"/>
      <c r="AE75" s="102"/>
    </row>
    <row r="76" spans="1:31" ht="12.9" x14ac:dyDescent="0.5">
      <c r="A76" s="64"/>
      <c r="B76" s="2"/>
      <c r="C76" s="70"/>
      <c r="D76" s="70"/>
      <c r="E76" s="70"/>
      <c r="F76" s="70"/>
      <c r="G76" s="70"/>
      <c r="H76" s="102"/>
      <c r="I76" s="1"/>
      <c r="J76" s="1"/>
      <c r="K76" s="1"/>
      <c r="L76" s="1"/>
      <c r="M76" s="29"/>
      <c r="N76" s="29"/>
      <c r="O76" s="29"/>
      <c r="P76" s="29"/>
      <c r="Q76" s="29"/>
      <c r="R76" s="29"/>
      <c r="S76" s="29"/>
      <c r="T76" s="29"/>
      <c r="U76" s="29"/>
      <c r="V76" s="29"/>
      <c r="W76" s="29"/>
      <c r="X76" s="29"/>
      <c r="Y76" s="29"/>
      <c r="Z76" s="70"/>
      <c r="AA76" s="70"/>
      <c r="AB76" s="102"/>
      <c r="AC76" s="102"/>
      <c r="AD76" s="102"/>
      <c r="AE76" s="102"/>
    </row>
    <row r="77" spans="1:31" ht="12.9" x14ac:dyDescent="0.5">
      <c r="A77" s="64"/>
      <c r="B77" s="2"/>
      <c r="C77" s="70"/>
      <c r="D77" s="70"/>
      <c r="E77" s="70"/>
      <c r="F77" s="70"/>
      <c r="G77" s="70"/>
      <c r="H77" s="102"/>
      <c r="I77" s="1"/>
      <c r="J77" s="1"/>
      <c r="K77" s="1"/>
      <c r="L77" s="1"/>
      <c r="M77" s="29"/>
      <c r="N77" s="29"/>
      <c r="O77" s="29"/>
      <c r="P77" s="29"/>
      <c r="Q77" s="29"/>
      <c r="R77" s="29"/>
      <c r="S77" s="29"/>
      <c r="T77" s="29"/>
      <c r="U77" s="29"/>
      <c r="V77" s="29"/>
      <c r="W77" s="29"/>
      <c r="X77" s="29"/>
      <c r="Y77" s="29"/>
      <c r="Z77" s="70"/>
      <c r="AA77" s="70"/>
      <c r="AB77" s="102"/>
      <c r="AC77" s="102"/>
      <c r="AD77" s="102"/>
      <c r="AE77" s="102"/>
    </row>
    <row r="78" spans="1:31" ht="12.9" x14ac:dyDescent="0.5">
      <c r="A78" s="64"/>
      <c r="B78" s="2"/>
      <c r="C78" s="70"/>
      <c r="D78" s="70"/>
      <c r="E78" s="70"/>
      <c r="F78" s="70"/>
      <c r="G78" s="70"/>
      <c r="H78" s="102"/>
      <c r="I78" s="1"/>
      <c r="J78" s="1"/>
      <c r="K78" s="1"/>
      <c r="L78" s="1"/>
      <c r="M78" s="29"/>
      <c r="N78" s="29"/>
      <c r="O78" s="29"/>
      <c r="P78" s="29"/>
      <c r="Q78" s="29"/>
      <c r="R78" s="29"/>
      <c r="S78" s="29"/>
      <c r="T78" s="29"/>
      <c r="U78" s="29"/>
      <c r="V78" s="29"/>
      <c r="W78" s="29"/>
      <c r="X78" s="29"/>
      <c r="Y78" s="29"/>
      <c r="Z78" s="70"/>
      <c r="AA78" s="70"/>
      <c r="AB78" s="102"/>
      <c r="AC78" s="102"/>
      <c r="AD78" s="102"/>
      <c r="AE78" s="102"/>
    </row>
    <row r="79" spans="1:31" ht="12.9" x14ac:dyDescent="0.5">
      <c r="A79" s="64"/>
      <c r="B79" s="2"/>
      <c r="C79" s="70"/>
      <c r="D79" s="70"/>
      <c r="E79" s="70"/>
      <c r="F79" s="70"/>
      <c r="G79" s="70"/>
      <c r="H79" s="102"/>
      <c r="I79" s="1"/>
      <c r="J79" s="1"/>
      <c r="K79" s="1"/>
      <c r="L79" s="1"/>
      <c r="M79" s="29"/>
      <c r="N79" s="29"/>
      <c r="O79" s="29"/>
      <c r="P79" s="29"/>
      <c r="Q79" s="29"/>
      <c r="R79" s="29"/>
      <c r="S79" s="29"/>
      <c r="T79" s="29"/>
      <c r="U79" s="29"/>
      <c r="V79" s="29"/>
      <c r="W79" s="29"/>
      <c r="X79" s="29"/>
      <c r="Y79" s="29"/>
      <c r="Z79" s="70"/>
      <c r="AA79" s="70"/>
      <c r="AB79" s="102"/>
      <c r="AC79" s="102"/>
      <c r="AD79" s="102"/>
      <c r="AE79" s="102"/>
    </row>
    <row r="80" spans="1:31" ht="12.9" x14ac:dyDescent="0.5">
      <c r="A80" s="64"/>
      <c r="B80" s="2"/>
      <c r="C80" s="70"/>
      <c r="D80" s="70"/>
      <c r="E80" s="70"/>
      <c r="F80" s="70"/>
      <c r="G80" s="70"/>
      <c r="H80" s="102"/>
      <c r="I80" s="1"/>
      <c r="J80" s="1"/>
      <c r="K80" s="1"/>
      <c r="L80" s="1"/>
      <c r="M80" s="29"/>
      <c r="N80" s="29"/>
      <c r="O80" s="29"/>
      <c r="P80" s="29"/>
      <c r="Q80" s="29"/>
      <c r="R80" s="29"/>
      <c r="S80" s="29"/>
      <c r="T80" s="29"/>
      <c r="U80" s="29"/>
      <c r="V80" s="29"/>
      <c r="W80" s="29"/>
      <c r="X80" s="29"/>
      <c r="Y80" s="29"/>
      <c r="Z80" s="70"/>
      <c r="AA80" s="70"/>
      <c r="AB80" s="102"/>
      <c r="AC80" s="102"/>
      <c r="AD80" s="102"/>
      <c r="AE80" s="102"/>
    </row>
    <row r="81" spans="1:31" ht="12.9" x14ac:dyDescent="0.5">
      <c r="A81" s="64"/>
      <c r="B81" s="2"/>
      <c r="C81" s="70"/>
      <c r="D81" s="70"/>
      <c r="E81" s="70"/>
      <c r="F81" s="70"/>
      <c r="G81" s="70"/>
      <c r="H81" s="102"/>
      <c r="I81" s="1"/>
      <c r="J81" s="1"/>
      <c r="K81" s="1"/>
      <c r="L81" s="1"/>
      <c r="M81" s="29"/>
      <c r="N81" s="29"/>
      <c r="O81" s="29"/>
      <c r="P81" s="29"/>
      <c r="Q81" s="29"/>
      <c r="R81" s="29"/>
      <c r="S81" s="29"/>
      <c r="T81" s="29"/>
      <c r="U81" s="29"/>
      <c r="V81" s="29"/>
      <c r="W81" s="29"/>
      <c r="X81" s="29"/>
      <c r="Y81" s="29"/>
      <c r="Z81" s="70"/>
      <c r="AA81" s="70"/>
      <c r="AB81" s="102"/>
      <c r="AC81" s="102"/>
      <c r="AD81" s="102"/>
      <c r="AE81" s="102"/>
    </row>
    <row r="82" spans="1:31" ht="12.9" x14ac:dyDescent="0.5">
      <c r="A82" s="64"/>
      <c r="B82" s="2"/>
      <c r="C82" s="70"/>
      <c r="D82" s="70"/>
      <c r="E82" s="70"/>
      <c r="F82" s="70"/>
      <c r="G82" s="70"/>
      <c r="H82" s="102"/>
      <c r="I82" s="1"/>
      <c r="J82" s="1"/>
      <c r="K82" s="1"/>
      <c r="L82" s="1"/>
      <c r="M82" s="29"/>
      <c r="N82" s="29"/>
      <c r="O82" s="29"/>
      <c r="P82" s="29"/>
      <c r="Q82" s="29"/>
      <c r="R82" s="29"/>
      <c r="S82" s="29"/>
      <c r="T82" s="29"/>
      <c r="U82" s="29"/>
      <c r="V82" s="29"/>
      <c r="W82" s="29"/>
      <c r="X82" s="29"/>
      <c r="Y82" s="29"/>
      <c r="Z82" s="70"/>
      <c r="AA82" s="70"/>
      <c r="AB82" s="102"/>
      <c r="AC82" s="102"/>
      <c r="AD82" s="102"/>
      <c r="AE82" s="102"/>
    </row>
    <row r="83" spans="1:31" ht="12.9" x14ac:dyDescent="0.5">
      <c r="A83" s="64"/>
      <c r="B83" s="2"/>
      <c r="C83" s="70"/>
      <c r="D83" s="70"/>
      <c r="E83" s="70"/>
      <c r="F83" s="70"/>
      <c r="G83" s="70"/>
      <c r="H83" s="102"/>
      <c r="I83" s="1"/>
      <c r="J83" s="1"/>
      <c r="K83" s="1"/>
      <c r="L83" s="1"/>
      <c r="M83" s="29"/>
      <c r="N83" s="29"/>
      <c r="O83" s="29"/>
      <c r="P83" s="29"/>
      <c r="Q83" s="29"/>
      <c r="R83" s="29"/>
      <c r="S83" s="29"/>
      <c r="T83" s="29"/>
      <c r="U83" s="29"/>
      <c r="V83" s="29"/>
      <c r="W83" s="29"/>
      <c r="X83" s="29"/>
      <c r="Y83" s="29"/>
      <c r="Z83" s="70"/>
      <c r="AA83" s="70"/>
      <c r="AB83" s="102"/>
      <c r="AC83" s="102"/>
      <c r="AD83" s="102"/>
      <c r="AE83" s="102"/>
    </row>
    <row r="84" spans="1:31" ht="12.9" x14ac:dyDescent="0.5">
      <c r="A84" s="64"/>
      <c r="B84" s="2"/>
      <c r="C84" s="70"/>
      <c r="D84" s="70"/>
      <c r="E84" s="70"/>
      <c r="F84" s="70"/>
      <c r="G84" s="70"/>
      <c r="H84" s="102"/>
      <c r="I84" s="1"/>
      <c r="J84" s="1"/>
      <c r="K84" s="1"/>
      <c r="L84" s="1"/>
      <c r="M84" s="29"/>
      <c r="N84" s="29"/>
      <c r="O84" s="29"/>
      <c r="P84" s="29"/>
      <c r="Q84" s="29"/>
      <c r="R84" s="29"/>
      <c r="S84" s="29"/>
      <c r="T84" s="29"/>
      <c r="U84" s="29"/>
      <c r="V84" s="29"/>
      <c r="W84" s="29"/>
      <c r="X84" s="29"/>
      <c r="Y84" s="29"/>
      <c r="Z84" s="70"/>
      <c r="AA84" s="70"/>
      <c r="AB84" s="102"/>
      <c r="AC84" s="102"/>
      <c r="AD84" s="102"/>
      <c r="AE84" s="102"/>
    </row>
    <row r="85" spans="1:31" ht="12.9" x14ac:dyDescent="0.5">
      <c r="A85" s="64"/>
      <c r="B85" s="2"/>
      <c r="C85" s="70"/>
      <c r="D85" s="70"/>
      <c r="E85" s="70"/>
      <c r="F85" s="70"/>
      <c r="G85" s="70"/>
      <c r="H85" s="102"/>
      <c r="I85" s="1"/>
      <c r="J85" s="1"/>
      <c r="K85" s="1"/>
      <c r="L85" s="1"/>
      <c r="M85" s="29"/>
      <c r="N85" s="29"/>
      <c r="O85" s="29"/>
      <c r="P85" s="29"/>
      <c r="Q85" s="29"/>
      <c r="R85" s="29"/>
      <c r="S85" s="29"/>
      <c r="T85" s="29"/>
      <c r="U85" s="29"/>
      <c r="V85" s="29"/>
      <c r="W85" s="29"/>
      <c r="X85" s="29"/>
      <c r="Y85" s="29"/>
      <c r="Z85" s="70"/>
      <c r="AA85" s="70"/>
      <c r="AB85" s="102"/>
      <c r="AC85" s="102"/>
      <c r="AD85" s="102"/>
      <c r="AE85" s="102"/>
    </row>
  </sheetData>
  <mergeCells count="5">
    <mergeCell ref="D4:F4"/>
    <mergeCell ref="K4:N4"/>
    <mergeCell ref="O4:R4"/>
    <mergeCell ref="S4:V4"/>
    <mergeCell ref="Z4:AE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C0FE84-EC33-4C16-B9F3-0EAADE615660}">
  <dimension ref="A1:R419"/>
  <sheetViews>
    <sheetView zoomScale="60" workbookViewId="0">
      <pane xSplit="1" ySplit="2" topLeftCell="B3" activePane="bottomRight" state="frozen"/>
      <selection activeCell="AP56" sqref="AP56"/>
      <selection pane="topRight" activeCell="AP56" sqref="AP56"/>
      <selection pane="bottomLeft" activeCell="AP56" sqref="AP56"/>
      <selection pane="bottomRight" activeCell="B2" sqref="B2"/>
    </sheetView>
  </sheetViews>
  <sheetFormatPr defaultRowHeight="14.4" x14ac:dyDescent="0.55000000000000004"/>
  <cols>
    <col min="2" max="2" width="73.1015625" customWidth="1"/>
    <col min="8" max="8" width="8.7890625" customWidth="1"/>
    <col min="9" max="9" width="8.83984375" customWidth="1"/>
    <col min="10" max="10" width="9.3671875" bestFit="1" customWidth="1"/>
  </cols>
  <sheetData>
    <row r="1" spans="1:15" x14ac:dyDescent="0.55000000000000004">
      <c r="A1" s="66"/>
      <c r="B1" s="66"/>
      <c r="C1" s="66"/>
      <c r="D1" s="66"/>
      <c r="E1" s="66"/>
      <c r="F1" s="66"/>
      <c r="G1" s="66"/>
      <c r="H1" s="66"/>
      <c r="I1" s="66"/>
      <c r="J1" s="66"/>
      <c r="K1" s="66"/>
      <c r="L1" s="66"/>
      <c r="M1" s="66"/>
      <c r="N1" s="66"/>
    </row>
    <row r="2" spans="1:15" x14ac:dyDescent="0.55000000000000004">
      <c r="A2" s="87"/>
      <c r="B2" s="68" t="s">
        <v>148</v>
      </c>
      <c r="C2" s="68">
        <v>2018</v>
      </c>
      <c r="D2" s="68">
        <f>C2+1</f>
        <v>2019</v>
      </c>
      <c r="E2" s="68">
        <f t="shared" ref="E2:O2" si="0">D2+1</f>
        <v>2020</v>
      </c>
      <c r="F2" s="68">
        <f t="shared" si="0"/>
        <v>2021</v>
      </c>
      <c r="G2" s="68">
        <f t="shared" si="0"/>
        <v>2022</v>
      </c>
      <c r="H2" s="68">
        <f t="shared" si="0"/>
        <v>2023</v>
      </c>
      <c r="I2" s="68">
        <f t="shared" si="0"/>
        <v>2024</v>
      </c>
      <c r="J2" s="68">
        <f t="shared" si="0"/>
        <v>2025</v>
      </c>
      <c r="K2" s="68">
        <f t="shared" si="0"/>
        <v>2026</v>
      </c>
      <c r="L2" s="68">
        <f t="shared" si="0"/>
        <v>2027</v>
      </c>
      <c r="M2" s="68">
        <f t="shared" si="0"/>
        <v>2028</v>
      </c>
      <c r="N2" s="68">
        <f t="shared" si="0"/>
        <v>2029</v>
      </c>
      <c r="O2" s="68">
        <f t="shared" si="0"/>
        <v>2030</v>
      </c>
    </row>
    <row r="3" spans="1:15" x14ac:dyDescent="0.55000000000000004">
      <c r="A3" s="66"/>
      <c r="B3" s="67"/>
      <c r="C3" s="67"/>
      <c r="D3" s="67"/>
      <c r="E3" s="67"/>
      <c r="F3" s="67"/>
      <c r="G3" s="67"/>
      <c r="H3" s="67"/>
      <c r="I3" s="67"/>
      <c r="J3" s="67"/>
      <c r="K3" s="67"/>
      <c r="L3" s="67"/>
      <c r="M3" s="67"/>
      <c r="N3" s="67"/>
      <c r="O3" s="67"/>
    </row>
    <row r="4" spans="1:15" x14ac:dyDescent="0.55000000000000004">
      <c r="A4" s="66"/>
      <c r="B4" s="136" t="s">
        <v>238</v>
      </c>
      <c r="C4" s="67"/>
      <c r="D4" s="67"/>
      <c r="E4" s="67"/>
      <c r="F4" s="67"/>
      <c r="G4" s="67"/>
      <c r="H4" s="67"/>
      <c r="I4" s="67"/>
      <c r="J4" s="67"/>
      <c r="K4" s="67"/>
      <c r="L4" s="67"/>
      <c r="M4" s="67"/>
      <c r="N4" s="67"/>
      <c r="O4" s="67"/>
    </row>
    <row r="5" spans="1:15" x14ac:dyDescent="0.55000000000000004">
      <c r="A5" s="66"/>
      <c r="B5" s="67"/>
      <c r="C5" s="67"/>
      <c r="D5" s="67"/>
      <c r="E5" s="67"/>
      <c r="F5" s="67"/>
      <c r="G5" s="67"/>
      <c r="H5" s="67"/>
      <c r="I5" s="67"/>
      <c r="J5" s="67"/>
      <c r="K5" s="67"/>
      <c r="L5" s="67"/>
      <c r="M5" s="67"/>
      <c r="N5" s="67"/>
      <c r="O5" s="67"/>
    </row>
    <row r="6" spans="1:15" x14ac:dyDescent="0.55000000000000004">
      <c r="A6" s="66"/>
      <c r="B6" s="67" t="s">
        <v>162</v>
      </c>
      <c r="C6" s="66"/>
      <c r="D6" s="66"/>
      <c r="E6" s="66"/>
      <c r="F6" s="66"/>
      <c r="G6" s="66"/>
      <c r="H6" s="66"/>
      <c r="I6" s="67"/>
      <c r="J6" s="67"/>
      <c r="K6" s="67"/>
      <c r="L6" s="67"/>
      <c r="M6" s="67"/>
      <c r="N6" s="67"/>
      <c r="O6" s="67"/>
    </row>
    <row r="7" spans="1:15" x14ac:dyDescent="0.55000000000000004">
      <c r="A7" s="66"/>
      <c r="B7" s="66" t="str">
        <f>'Segment feeder'!A8</f>
        <v xml:space="preserve">     Transaction-based revenue</v>
      </c>
      <c r="C7" s="69">
        <f>'Segment feeder'!Z8/1000</f>
        <v>2428.7359999999999</v>
      </c>
      <c r="D7" s="69">
        <f>'Segment feeder'!AA8/1000</f>
        <v>3008.2089999999998</v>
      </c>
      <c r="E7" s="69">
        <f>'Segment feeder'!AB8/1000</f>
        <v>3061.2310000000002</v>
      </c>
      <c r="F7" s="69">
        <f>'Segment feeder'!AC8/1000</f>
        <v>4383.3019999999997</v>
      </c>
      <c r="G7" s="69">
        <f>'Segment feeder'!AD8/1000</f>
        <v>5235.3689999999997</v>
      </c>
      <c r="H7" s="69">
        <f>'Segment feeder'!AE8/1000</f>
        <v>5817.125</v>
      </c>
      <c r="I7" s="67"/>
      <c r="J7" s="67"/>
      <c r="K7" s="67"/>
      <c r="L7" s="67"/>
      <c r="M7" s="67"/>
      <c r="N7" s="67"/>
      <c r="O7" s="67"/>
    </row>
    <row r="8" spans="1:15" x14ac:dyDescent="0.55000000000000004">
      <c r="A8" s="66"/>
      <c r="B8" s="66" t="str">
        <f>'Segment feeder'!A9</f>
        <v xml:space="preserve">     Subscription and services-based revenue</v>
      </c>
      <c r="C8" s="69">
        <f>'Segment feeder'!Z9/1000</f>
        <v>222.279</v>
      </c>
      <c r="D8" s="69">
        <f>'Segment feeder'!AA9/1000</f>
        <v>369.274</v>
      </c>
      <c r="E8" s="69">
        <f>'Segment feeder'!AB9/1000</f>
        <v>376.30700000000002</v>
      </c>
      <c r="F8" s="69">
        <f>'Segment feeder'!AC9/1000</f>
        <v>664.36699999999996</v>
      </c>
      <c r="G8" s="69">
        <f>'Segment feeder'!AD9/1000</f>
        <v>894.35</v>
      </c>
      <c r="H8" s="69">
        <f>'Segment feeder'!AE9/1000</f>
        <v>1059.0809999999999</v>
      </c>
      <c r="I8" s="67"/>
      <c r="J8" s="67"/>
      <c r="K8" s="67"/>
      <c r="L8" s="67"/>
      <c r="M8" s="67"/>
      <c r="N8" s="67"/>
      <c r="O8" s="67"/>
    </row>
    <row r="9" spans="1:15" x14ac:dyDescent="0.55000000000000004">
      <c r="A9" s="66"/>
      <c r="B9" s="66" t="str">
        <f>'Segment feeder'!A10</f>
        <v xml:space="preserve">     Hardware revenue</v>
      </c>
      <c r="C9" s="69">
        <f>'Segment feeder'!Z10/1000</f>
        <v>68.503</v>
      </c>
      <c r="D9" s="69">
        <f>'Segment feeder'!AA10/1000</f>
        <v>84.504999999999995</v>
      </c>
      <c r="E9" s="69">
        <f>'Segment feeder'!AB10/1000</f>
        <v>91.653999999999996</v>
      </c>
      <c r="F9" s="69">
        <f>'Segment feeder'!AC10/1000</f>
        <v>145.679</v>
      </c>
      <c r="G9" s="69">
        <f>'Segment feeder'!AD10/1000</f>
        <v>164.41800000000001</v>
      </c>
      <c r="H9" s="69">
        <f>'Segment feeder'!AE10/1000</f>
        <v>157.178</v>
      </c>
      <c r="I9" s="67"/>
      <c r="J9" s="67"/>
      <c r="K9" s="67"/>
      <c r="L9" s="67"/>
      <c r="M9" s="67"/>
      <c r="N9" s="67"/>
      <c r="O9" s="67"/>
    </row>
    <row r="10" spans="1:15" x14ac:dyDescent="0.55000000000000004">
      <c r="A10" s="66"/>
      <c r="B10" s="87" t="str">
        <f>'Segment feeder'!A11</f>
        <v xml:space="preserve">     Bitcoin revenue</v>
      </c>
      <c r="C10" s="88">
        <f>'Segment feeder'!Z11/1000</f>
        <v>0</v>
      </c>
      <c r="D10" s="88">
        <f>'Segment feeder'!AA11/1000</f>
        <v>0</v>
      </c>
      <c r="E10" s="88">
        <f>'Segment feeder'!AB11/1000</f>
        <v>0</v>
      </c>
      <c r="F10" s="88">
        <f>'Segment feeder'!AC11/1000</f>
        <v>0</v>
      </c>
      <c r="G10" s="88">
        <f>'Segment feeder'!AD11/1000</f>
        <v>0</v>
      </c>
      <c r="H10" s="88">
        <f>'Segment feeder'!AE11/1000</f>
        <v>0</v>
      </c>
      <c r="I10" s="68"/>
      <c r="J10" s="68"/>
      <c r="K10" s="68"/>
      <c r="L10" s="68"/>
      <c r="M10" s="68"/>
      <c r="N10" s="68"/>
      <c r="O10" s="68"/>
    </row>
    <row r="11" spans="1:15" x14ac:dyDescent="0.55000000000000004">
      <c r="A11" s="66"/>
      <c r="B11" s="66" t="str">
        <f>'Segment feeder'!A12</f>
        <v>Revenue</v>
      </c>
      <c r="C11" s="69">
        <f>'Segment feeder'!Z12/1000</f>
        <v>2719.518</v>
      </c>
      <c r="D11" s="69">
        <f>'Segment feeder'!AA12/1000</f>
        <v>3461.9879999999998</v>
      </c>
      <c r="E11" s="69">
        <f>'Segment feeder'!AB12/1000</f>
        <v>3529.192</v>
      </c>
      <c r="F11" s="69">
        <f>'Segment feeder'!AC12/1000</f>
        <v>5193.348</v>
      </c>
      <c r="G11" s="69">
        <f>'Segment feeder'!AD12/1000</f>
        <v>6294.1369999999997</v>
      </c>
      <c r="H11" s="69">
        <f>'Segment feeder'!AE12/1000</f>
        <v>7033.384</v>
      </c>
      <c r="I11" s="69">
        <f>I214</f>
        <v>7816.1025320076587</v>
      </c>
      <c r="J11" s="69">
        <f t="shared" ref="J11:O11" si="1">J214</f>
        <v>8675.8738105285029</v>
      </c>
      <c r="K11" s="69">
        <f t="shared" si="1"/>
        <v>9744.6186197546704</v>
      </c>
      <c r="L11" s="69">
        <f t="shared" si="1"/>
        <v>10750.590026967666</v>
      </c>
      <c r="M11" s="69">
        <f t="shared" si="1"/>
        <v>11540.055847793014</v>
      </c>
      <c r="N11" s="69">
        <f t="shared" si="1"/>
        <v>12078.591787356689</v>
      </c>
      <c r="O11" s="69">
        <f t="shared" si="1"/>
        <v>12629.437119824675</v>
      </c>
    </row>
    <row r="12" spans="1:15" x14ac:dyDescent="0.55000000000000004">
      <c r="A12" s="66"/>
      <c r="B12" s="66" t="str">
        <f>'Segment feeder'!A13</f>
        <v>Cost of revenue</v>
      </c>
      <c r="C12" s="69">
        <f>'Segment feeder'!Z13/1000</f>
        <v>1647.0219999999999</v>
      </c>
      <c r="D12" s="69">
        <f>'Segment feeder'!AA13/1000</f>
        <v>2071.5610000000001</v>
      </c>
      <c r="E12" s="69">
        <f>'Segment feeder'!AB13/1000</f>
        <v>2021.3610000000001</v>
      </c>
      <c r="F12" s="69">
        <f>'Segment feeder'!AC13/1000</f>
        <v>2876.6770000000001</v>
      </c>
      <c r="G12" s="69">
        <f>'Segment feeder'!AD13/1000</f>
        <v>3587.2359999999999</v>
      </c>
      <c r="H12" s="69">
        <f>'Segment feeder'!AE13/1000</f>
        <v>3904.73</v>
      </c>
      <c r="I12" s="69">
        <f>I218</f>
        <v>4212.8792647521286</v>
      </c>
      <c r="J12" s="69">
        <f t="shared" ref="J12:O12" si="2">J218</f>
        <v>4632.9166148222212</v>
      </c>
      <c r="K12" s="69">
        <f t="shared" si="2"/>
        <v>5164.6478684699759</v>
      </c>
      <c r="L12" s="69">
        <f t="shared" si="2"/>
        <v>5697.8127142928633</v>
      </c>
      <c r="M12" s="69">
        <f t="shared" si="2"/>
        <v>6116.2295993302978</v>
      </c>
      <c r="N12" s="69">
        <f t="shared" si="2"/>
        <v>6401.6536472990456</v>
      </c>
      <c r="O12" s="69">
        <f t="shared" si="2"/>
        <v>6693.601673507078</v>
      </c>
    </row>
    <row r="13" spans="1:15" x14ac:dyDescent="0.55000000000000004">
      <c r="A13" s="66"/>
      <c r="B13" s="66" t="str">
        <f>'Segment feeder'!A14</f>
        <v xml:space="preserve">     Gross profit</v>
      </c>
      <c r="C13" s="69">
        <f>'Segment feeder'!Z14/1000</f>
        <v>1072.4960000000001</v>
      </c>
      <c r="D13" s="69">
        <f>'Segment feeder'!AA14/1000</f>
        <v>1390.4269999999999</v>
      </c>
      <c r="E13" s="69">
        <f>'Segment feeder'!AB14/1000</f>
        <v>1507.8309999999999</v>
      </c>
      <c r="F13" s="69">
        <f>'Segment feeder'!AC14/1000</f>
        <v>2316.6709999999998</v>
      </c>
      <c r="G13" s="69">
        <f>'Segment feeder'!AD14/1000</f>
        <v>2706.9009999999998</v>
      </c>
      <c r="H13" s="69">
        <f>'Segment feeder'!AE14/1000</f>
        <v>3128.654</v>
      </c>
      <c r="I13" s="69">
        <f>I221</f>
        <v>3603.2232672555301</v>
      </c>
      <c r="J13" s="69">
        <f t="shared" ref="J13:O13" si="3">J221</f>
        <v>4042.9571957062817</v>
      </c>
      <c r="K13" s="69">
        <f t="shared" si="3"/>
        <v>4579.9707512846944</v>
      </c>
      <c r="L13" s="69">
        <f t="shared" si="3"/>
        <v>5052.7773126748025</v>
      </c>
      <c r="M13" s="69">
        <f t="shared" si="3"/>
        <v>5423.8262484627157</v>
      </c>
      <c r="N13" s="69">
        <f t="shared" si="3"/>
        <v>5676.9381400576431</v>
      </c>
      <c r="O13" s="69">
        <f t="shared" si="3"/>
        <v>5935.8354463175974</v>
      </c>
    </row>
    <row r="14" spans="1:15" x14ac:dyDescent="0.55000000000000004">
      <c r="A14" s="66"/>
      <c r="B14" s="66"/>
      <c r="C14" s="69"/>
      <c r="D14" s="69"/>
      <c r="E14" s="69"/>
      <c r="F14" s="69"/>
      <c r="G14" s="69"/>
      <c r="H14" s="69"/>
      <c r="I14" s="67"/>
      <c r="J14" s="67"/>
      <c r="K14" s="67"/>
      <c r="L14" s="67"/>
      <c r="M14" s="67"/>
      <c r="N14" s="67"/>
      <c r="O14" s="67"/>
    </row>
    <row r="15" spans="1:15" x14ac:dyDescent="0.55000000000000004">
      <c r="A15" s="66"/>
      <c r="B15" s="67" t="s">
        <v>163</v>
      </c>
      <c r="C15" s="69"/>
      <c r="D15" s="69"/>
      <c r="E15" s="69"/>
      <c r="F15" s="69"/>
      <c r="G15" s="69"/>
      <c r="H15" s="69"/>
      <c r="I15" s="67"/>
      <c r="J15" s="67"/>
      <c r="K15" s="67"/>
      <c r="L15" s="67"/>
      <c r="M15" s="67"/>
      <c r="N15" s="67"/>
      <c r="O15" s="67"/>
    </row>
    <row r="16" spans="1:15" x14ac:dyDescent="0.55000000000000004">
      <c r="A16" s="66"/>
      <c r="B16" s="66" t="str">
        <f>'Segment feeder'!A17</f>
        <v xml:space="preserve">     Transaction-based revenue</v>
      </c>
      <c r="C16" s="69">
        <f>'Segment feeder'!Z17/1000</f>
        <v>42.715000000000003</v>
      </c>
      <c r="D16" s="69">
        <f>'Segment feeder'!AA17/1000</f>
        <v>72.864999999999995</v>
      </c>
      <c r="E16" s="69">
        <f>'Segment feeder'!AB17/1000</f>
        <v>233.74700000000001</v>
      </c>
      <c r="F16" s="69">
        <f>'Segment feeder'!AC17/1000</f>
        <v>409.84399999999999</v>
      </c>
      <c r="G16" s="69">
        <f>'Segment feeder'!AD17/1000</f>
        <v>466.17099999999999</v>
      </c>
      <c r="H16" s="69">
        <f>'Segment feeder'!AE17/1000</f>
        <v>498.17599999999999</v>
      </c>
      <c r="I16" s="67"/>
      <c r="J16" s="67"/>
      <c r="K16" s="67"/>
      <c r="L16" s="67"/>
      <c r="M16" s="67"/>
      <c r="N16" s="67"/>
      <c r="O16" s="67"/>
    </row>
    <row r="17" spans="1:15" x14ac:dyDescent="0.55000000000000004">
      <c r="A17" s="66"/>
      <c r="B17" s="66" t="str">
        <f>'Segment feeder'!A18</f>
        <v xml:space="preserve">     Subscription and services-based revenue</v>
      </c>
      <c r="C17" s="69">
        <f>'Segment feeder'!Z18/1000</f>
        <v>220.81899999999999</v>
      </c>
      <c r="D17" s="69">
        <f>'Segment feeder'!AA18/1000</f>
        <v>516.26900000000001</v>
      </c>
      <c r="E17" s="69">
        <f>'Segment feeder'!AB18/1000</f>
        <v>1163.096</v>
      </c>
      <c r="F17" s="69">
        <f>'Segment feeder'!AC18/1000</f>
        <v>1893.008</v>
      </c>
      <c r="G17" s="69">
        <f>'Segment feeder'!AD18/1000</f>
        <v>3452.777</v>
      </c>
      <c r="H17" s="69">
        <f>'Segment feeder'!AE18/1000</f>
        <v>4685.2079999999996</v>
      </c>
      <c r="I17" s="67"/>
      <c r="J17" s="67"/>
      <c r="K17" s="67"/>
      <c r="L17" s="67"/>
      <c r="M17" s="67"/>
      <c r="N17" s="67"/>
      <c r="O17" s="67"/>
    </row>
    <row r="18" spans="1:15" x14ac:dyDescent="0.55000000000000004">
      <c r="A18" s="66"/>
      <c r="B18" s="66" t="str">
        <f>'Segment feeder'!A19</f>
        <v xml:space="preserve">     Hardware revenue</v>
      </c>
      <c r="C18" s="69">
        <f>'Segment feeder'!Z19/1000</f>
        <v>0</v>
      </c>
      <c r="D18" s="69">
        <f>'Segment feeder'!AA19/1000</f>
        <v>0</v>
      </c>
      <c r="E18" s="69">
        <f>'Segment feeder'!AB19/1000</f>
        <v>0</v>
      </c>
      <c r="F18" s="69">
        <f>'Segment feeder'!AC19/1000</f>
        <v>0</v>
      </c>
      <c r="G18" s="69">
        <f>'Segment feeder'!AD19/1000</f>
        <v>0</v>
      </c>
      <c r="H18" s="69">
        <f>'Segment feeder'!AE19/1000</f>
        <v>0</v>
      </c>
      <c r="I18" s="67"/>
      <c r="J18" s="67"/>
      <c r="K18" s="67"/>
      <c r="L18" s="67"/>
      <c r="M18" s="67"/>
      <c r="N18" s="67"/>
      <c r="O18" s="67"/>
    </row>
    <row r="19" spans="1:15" x14ac:dyDescent="0.55000000000000004">
      <c r="A19" s="66"/>
      <c r="B19" s="87" t="str">
        <f>'Segment feeder'!A20</f>
        <v xml:space="preserve">     Bitcoin revenue</v>
      </c>
      <c r="C19" s="88">
        <f>'Segment feeder'!Z20/1000</f>
        <v>166.517</v>
      </c>
      <c r="D19" s="88">
        <f>'Segment feeder'!AA20/1000</f>
        <v>516.46500000000003</v>
      </c>
      <c r="E19" s="88">
        <f>'Segment feeder'!AB20/1000</f>
        <v>4571.5429999999997</v>
      </c>
      <c r="F19" s="88">
        <f>'Segment feeder'!AC20/1000</f>
        <v>10012.647000000001</v>
      </c>
      <c r="G19" s="88">
        <f>'Segment feeder'!AD20/1000</f>
        <v>7112.8559999999998</v>
      </c>
      <c r="H19" s="88">
        <f>'Segment feeder'!AE20/1000</f>
        <v>9498.3019999999997</v>
      </c>
      <c r="I19" s="88">
        <f t="shared" ref="I19:O19" si="4">I275</f>
        <v>10638.098240000001</v>
      </c>
      <c r="J19" s="88">
        <f t="shared" si="4"/>
        <v>11170.003152000001</v>
      </c>
      <c r="K19" s="88">
        <f t="shared" si="4"/>
        <v>11728.503309600002</v>
      </c>
      <c r="L19" s="88">
        <f t="shared" si="4"/>
        <v>12314.928475080003</v>
      </c>
      <c r="M19" s="88">
        <f t="shared" si="4"/>
        <v>12930.674898834004</v>
      </c>
      <c r="N19" s="88">
        <f t="shared" si="4"/>
        <v>13577.208643775704</v>
      </c>
      <c r="O19" s="88">
        <f t="shared" si="4"/>
        <v>14256.069075964489</v>
      </c>
    </row>
    <row r="20" spans="1:15" x14ac:dyDescent="0.55000000000000004">
      <c r="A20" s="66"/>
      <c r="B20" s="66" t="str">
        <f>'Segment feeder'!A21</f>
        <v>Revenue</v>
      </c>
      <c r="C20" s="69">
        <f>'Segment feeder'!Z21/1000</f>
        <v>430.05099999999999</v>
      </c>
      <c r="D20" s="69">
        <f>'Segment feeder'!AA21/1000</f>
        <v>1105.5989999999999</v>
      </c>
      <c r="E20" s="69">
        <f>'Segment feeder'!AB21/1000</f>
        <v>5968.3860000000004</v>
      </c>
      <c r="F20" s="69">
        <f>'Segment feeder'!AC21/1000</f>
        <v>12315.499</v>
      </c>
      <c r="G20" s="69">
        <f>'Segment feeder'!AD21/1000</f>
        <v>11031.804</v>
      </c>
      <c r="H20" s="69">
        <f>'Segment feeder'!AE21/1000</f>
        <v>14681.686</v>
      </c>
      <c r="I20" s="69">
        <f>I253</f>
        <v>16713.276363473055</v>
      </c>
      <c r="J20" s="69">
        <f t="shared" ref="J20:O20" si="5">J253</f>
        <v>18273.440734473057</v>
      </c>
      <c r="K20" s="69">
        <f t="shared" si="5"/>
        <v>19847.194556283597</v>
      </c>
      <c r="L20" s="69">
        <f t="shared" si="5"/>
        <v>21532.611061685926</v>
      </c>
      <c r="M20" s="69">
        <f t="shared" si="5"/>
        <v>23318.37916003176</v>
      </c>
      <c r="N20" s="69">
        <f t="shared" si="5"/>
        <v>24991.663580862907</v>
      </c>
      <c r="O20" s="69">
        <f t="shared" si="5"/>
        <v>26663.646233705455</v>
      </c>
    </row>
    <row r="21" spans="1:15" x14ac:dyDescent="0.55000000000000004">
      <c r="A21" s="66"/>
      <c r="B21" s="66" t="str">
        <f>'Segment feeder'!A22</f>
        <v>Cost of revenue</v>
      </c>
      <c r="C21" s="69">
        <f>'Segment feeder'!Z22/1000</f>
        <v>235.21600000000001</v>
      </c>
      <c r="D21" s="69">
        <f>'Segment feeder'!AA22/1000</f>
        <v>647.93100000000004</v>
      </c>
      <c r="E21" s="69">
        <f>'Segment feeder'!AB22/1000</f>
        <v>4742.808</v>
      </c>
      <c r="F21" s="69">
        <f>'Segment feeder'!AC22/1000</f>
        <v>10244.652</v>
      </c>
      <c r="G21" s="69">
        <f>'Segment feeder'!AD22/1000</f>
        <v>7786.76</v>
      </c>
      <c r="H21" s="69">
        <f>'Segment feeder'!AE22/1000</f>
        <v>10358.223</v>
      </c>
      <c r="I21" s="69">
        <f>I20-I22</f>
        <v>11485.090692153055</v>
      </c>
      <c r="J21" s="69">
        <f t="shared" ref="J21:O21" si="6">J20-J22</f>
        <v>12218.548783629058</v>
      </c>
      <c r="K21" s="69">
        <f t="shared" si="6"/>
        <v>12991.073979253197</v>
      </c>
      <c r="L21" s="69">
        <f t="shared" si="6"/>
        <v>13812.882514992982</v>
      </c>
      <c r="M21" s="69">
        <f t="shared" si="6"/>
        <v>14676.20145435962</v>
      </c>
      <c r="N21" s="69">
        <f t="shared" si="6"/>
        <v>15541.49319208825</v>
      </c>
      <c r="O21" s="69">
        <f t="shared" si="6"/>
        <v>16441.837362195532</v>
      </c>
    </row>
    <row r="22" spans="1:15" x14ac:dyDescent="0.55000000000000004">
      <c r="A22" s="66"/>
      <c r="B22" s="66" t="str">
        <f>'Segment feeder'!A23</f>
        <v xml:space="preserve">     Gross profit</v>
      </c>
      <c r="C22" s="69">
        <f>'Segment feeder'!Z23/1000</f>
        <v>194.83500000000001</v>
      </c>
      <c r="D22" s="69">
        <f>'Segment feeder'!AA23/1000</f>
        <v>457.66800000000001</v>
      </c>
      <c r="E22" s="69">
        <f>'Segment feeder'!AB23/1000</f>
        <v>1225.578</v>
      </c>
      <c r="F22" s="69">
        <f>'Segment feeder'!AC23/1000</f>
        <v>2070.8470000000002</v>
      </c>
      <c r="G22" s="69">
        <f>'Segment feeder'!AD23/1000</f>
        <v>3245.0439999999999</v>
      </c>
      <c r="H22" s="69">
        <f>'Segment feeder'!AE23/1000</f>
        <v>4323.4629999999997</v>
      </c>
      <c r="I22" s="69">
        <f>I260</f>
        <v>5228.1856713199995</v>
      </c>
      <c r="J22" s="69">
        <f t="shared" ref="J22:O22" si="7">J260</f>
        <v>6054.8919508439994</v>
      </c>
      <c r="K22" s="69">
        <f t="shared" si="7"/>
        <v>6856.1205770304005</v>
      </c>
      <c r="L22" s="69">
        <f t="shared" si="7"/>
        <v>7719.7285466929443</v>
      </c>
      <c r="M22" s="69">
        <f t="shared" si="7"/>
        <v>8642.1777056721403</v>
      </c>
      <c r="N22" s="69">
        <f t="shared" si="7"/>
        <v>9450.1703887746571</v>
      </c>
      <c r="O22" s="69">
        <f t="shared" si="7"/>
        <v>10221.808871509924</v>
      </c>
    </row>
    <row r="23" spans="1:15" x14ac:dyDescent="0.55000000000000004">
      <c r="A23" s="66"/>
      <c r="B23" s="66"/>
      <c r="C23" s="69"/>
      <c r="D23" s="69"/>
      <c r="E23" s="69"/>
      <c r="F23" s="69"/>
      <c r="G23" s="69"/>
      <c r="H23" s="69"/>
      <c r="I23" s="67"/>
      <c r="J23" s="67"/>
      <c r="K23" s="67"/>
      <c r="L23" s="67"/>
      <c r="M23" s="67"/>
      <c r="N23" s="67"/>
      <c r="O23" s="67"/>
    </row>
    <row r="24" spans="1:15" x14ac:dyDescent="0.55000000000000004">
      <c r="A24" s="66"/>
      <c r="B24" s="67" t="s">
        <v>164</v>
      </c>
      <c r="C24" s="69"/>
      <c r="D24" s="69"/>
      <c r="E24" s="69"/>
      <c r="F24" s="69"/>
      <c r="G24" s="69"/>
      <c r="H24" s="69"/>
      <c r="I24" s="67"/>
      <c r="J24" s="67"/>
      <c r="K24" s="67"/>
      <c r="L24" s="67"/>
      <c r="M24" s="67"/>
      <c r="N24" s="67"/>
      <c r="O24" s="67"/>
    </row>
    <row r="25" spans="1:15" x14ac:dyDescent="0.55000000000000004">
      <c r="A25" s="66"/>
      <c r="B25" s="66" t="str">
        <f>'Segment feeder'!A26</f>
        <v xml:space="preserve">     Transaction-based revenue</v>
      </c>
      <c r="C25" s="69">
        <f>'Segment feeder'!Z26/1000</f>
        <v>0</v>
      </c>
      <c r="D25" s="69">
        <f>'Segment feeder'!AA26/1000</f>
        <v>0</v>
      </c>
      <c r="E25" s="69">
        <f>'Segment feeder'!AB26/1000</f>
        <v>0</v>
      </c>
      <c r="F25" s="69">
        <f>'Segment feeder'!AC26/1000</f>
        <v>0</v>
      </c>
      <c r="G25" s="69">
        <f>'Segment feeder'!AD26/1000</f>
        <v>0</v>
      </c>
      <c r="H25" s="69">
        <f>'Segment feeder'!AE26/1000</f>
        <v>0</v>
      </c>
      <c r="I25" s="67"/>
      <c r="J25" s="67"/>
      <c r="K25" s="67"/>
      <c r="L25" s="67"/>
      <c r="M25" s="67"/>
      <c r="N25" s="67"/>
      <c r="O25" s="67"/>
    </row>
    <row r="26" spans="1:15" x14ac:dyDescent="0.55000000000000004">
      <c r="A26" s="66"/>
      <c r="B26" s="66" t="str">
        <f>'Segment feeder'!A27</f>
        <v xml:space="preserve">     Subscription and services-based revenue</v>
      </c>
      <c r="C26" s="69">
        <f>'Segment feeder'!Z27/1000</f>
        <v>0</v>
      </c>
      <c r="D26" s="69">
        <f>'Segment feeder'!AA27/1000</f>
        <v>0</v>
      </c>
      <c r="E26" s="69">
        <f>'Segment feeder'!AB27/1000</f>
        <v>0</v>
      </c>
      <c r="F26" s="69">
        <f>'Segment feeder'!AC27/1000</f>
        <v>152.35599999999999</v>
      </c>
      <c r="G26" s="69">
        <f>'Segment feeder'!AD27/1000</f>
        <v>205.64599999999999</v>
      </c>
      <c r="H26" s="69">
        <f>'Segment feeder'!AE27/1000</f>
        <v>200.553</v>
      </c>
      <c r="I26" s="67"/>
      <c r="J26" s="67"/>
      <c r="K26" s="67"/>
      <c r="L26" s="67"/>
      <c r="M26" s="67"/>
      <c r="N26" s="67"/>
      <c r="O26" s="67"/>
    </row>
    <row r="27" spans="1:15" x14ac:dyDescent="0.55000000000000004">
      <c r="A27" s="66"/>
      <c r="B27" s="66" t="str">
        <f>'Segment feeder'!A28</f>
        <v xml:space="preserve">     Hardware revenue</v>
      </c>
      <c r="C27" s="69">
        <f>'Segment feeder'!Z28/1000</f>
        <v>0</v>
      </c>
      <c r="D27" s="69">
        <f>'Segment feeder'!AA28/1000</f>
        <v>0</v>
      </c>
      <c r="E27" s="69">
        <f>'Segment feeder'!AB28/1000</f>
        <v>0</v>
      </c>
      <c r="F27" s="69">
        <f>'Segment feeder'!AC28/1000</f>
        <v>0</v>
      </c>
      <c r="G27" s="69">
        <f>'Segment feeder'!AD28/1000</f>
        <v>0</v>
      </c>
      <c r="H27" s="69">
        <f>'Segment feeder'!AE28/1000</f>
        <v>0</v>
      </c>
      <c r="I27" s="67"/>
      <c r="J27" s="67"/>
      <c r="K27" s="67"/>
      <c r="L27" s="67"/>
      <c r="M27" s="67"/>
      <c r="N27" s="67"/>
      <c r="O27" s="67"/>
    </row>
    <row r="28" spans="1:15" x14ac:dyDescent="0.55000000000000004">
      <c r="A28" s="66"/>
      <c r="B28" s="66" t="str">
        <f>'Segment feeder'!A29</f>
        <v xml:space="preserve">     Bitcoin revenue</v>
      </c>
      <c r="C28" s="69">
        <f>'Segment feeder'!Z29/1000</f>
        <v>0</v>
      </c>
      <c r="D28" s="69">
        <f>'Segment feeder'!AA29/1000</f>
        <v>0</v>
      </c>
      <c r="E28" s="69">
        <f>'Segment feeder'!AB29/1000</f>
        <v>0</v>
      </c>
      <c r="F28" s="69">
        <f>'Segment feeder'!AC29/1000</f>
        <v>0</v>
      </c>
      <c r="G28" s="69">
        <f>'Segment feeder'!AD29/1000</f>
        <v>0</v>
      </c>
      <c r="H28" s="69">
        <f>'Segment feeder'!AE29/1000</f>
        <v>0</v>
      </c>
      <c r="I28" s="67"/>
      <c r="J28" s="67"/>
      <c r="K28" s="67"/>
      <c r="L28" s="67"/>
      <c r="M28" s="67"/>
      <c r="N28" s="67"/>
      <c r="O28" s="67"/>
    </row>
    <row r="29" spans="1:15" x14ac:dyDescent="0.55000000000000004">
      <c r="A29" s="66"/>
      <c r="B29" s="66" t="str">
        <f>'Segment feeder'!A30</f>
        <v>Revenue</v>
      </c>
      <c r="C29" s="69">
        <f>'Segment feeder'!Z30/1000</f>
        <v>0</v>
      </c>
      <c r="D29" s="69">
        <f>'Segment feeder'!AA30/1000</f>
        <v>0</v>
      </c>
      <c r="E29" s="69">
        <f>'Segment feeder'!AB30/1000</f>
        <v>0</v>
      </c>
      <c r="F29" s="69">
        <f>'Segment feeder'!AC30/1000</f>
        <v>152.35599999999999</v>
      </c>
      <c r="G29" s="69">
        <f>'Segment feeder'!AD30/1000</f>
        <v>205.64599999999999</v>
      </c>
      <c r="H29" s="69">
        <f>'Segment feeder'!AE30/1000</f>
        <v>200.553</v>
      </c>
      <c r="I29" s="191">
        <v>220</v>
      </c>
      <c r="J29" s="191">
        <f t="shared" ref="J29:O29" si="8">I29*1.025</f>
        <v>225.49999999999997</v>
      </c>
      <c r="K29" s="191">
        <f t="shared" si="8"/>
        <v>231.13749999999996</v>
      </c>
      <c r="L29" s="191">
        <f t="shared" si="8"/>
        <v>236.91593749999993</v>
      </c>
      <c r="M29" s="191">
        <f t="shared" si="8"/>
        <v>242.83883593749991</v>
      </c>
      <c r="N29" s="191">
        <f t="shared" si="8"/>
        <v>248.90980683593739</v>
      </c>
      <c r="O29" s="191">
        <f t="shared" si="8"/>
        <v>255.13255200683579</v>
      </c>
    </row>
    <row r="30" spans="1:15" x14ac:dyDescent="0.55000000000000004">
      <c r="A30" s="66"/>
      <c r="B30" s="66" t="str">
        <f>'Segment feeder'!A31</f>
        <v>Cost of revenue</v>
      </c>
      <c r="C30" s="69">
        <f>'Segment feeder'!Z31/1000</f>
        <v>0</v>
      </c>
      <c r="D30" s="69">
        <f>'Segment feeder'!AA31/1000</f>
        <v>0</v>
      </c>
      <c r="E30" s="69">
        <f>'Segment feeder'!AB31/1000</f>
        <v>0</v>
      </c>
      <c r="F30" s="69">
        <f>'Segment feeder'!AC31/1000</f>
        <v>120.051</v>
      </c>
      <c r="G30" s="69">
        <f>'Segment feeder'!AD31/1000</f>
        <v>165.69900000000001</v>
      </c>
      <c r="H30" s="69">
        <f>'Segment feeder'!AE31/1000</f>
        <v>147.78399999999999</v>
      </c>
      <c r="I30" s="67"/>
      <c r="J30" s="67"/>
      <c r="K30" s="67"/>
      <c r="L30" s="67"/>
      <c r="M30" s="67"/>
      <c r="N30" s="67"/>
      <c r="O30" s="67"/>
    </row>
    <row r="31" spans="1:15" x14ac:dyDescent="0.55000000000000004">
      <c r="A31" s="66"/>
      <c r="B31" s="66" t="str">
        <f>'Segment feeder'!A32</f>
        <v xml:space="preserve">     Gross profit</v>
      </c>
      <c r="C31" s="69">
        <f>'Segment feeder'!Z32/1000</f>
        <v>0</v>
      </c>
      <c r="D31" s="69">
        <f>'Segment feeder'!AA32/1000</f>
        <v>0</v>
      </c>
      <c r="E31" s="69">
        <f>'Segment feeder'!AB32/1000</f>
        <v>0</v>
      </c>
      <c r="F31" s="69">
        <f>'Segment feeder'!AC32/1000</f>
        <v>32.305</v>
      </c>
      <c r="G31" s="69">
        <f>'Segment feeder'!AD32/1000</f>
        <v>39.947000000000003</v>
      </c>
      <c r="H31" s="69">
        <f>'Segment feeder'!AE32/1000</f>
        <v>52.768999999999998</v>
      </c>
      <c r="I31" s="191">
        <f>0.3*I29</f>
        <v>66</v>
      </c>
      <c r="J31" s="191">
        <f t="shared" ref="J31:O31" si="9">0.3*J29</f>
        <v>67.649999999999991</v>
      </c>
      <c r="K31" s="191">
        <f t="shared" si="9"/>
        <v>69.341249999999988</v>
      </c>
      <c r="L31" s="191">
        <f t="shared" si="9"/>
        <v>71.074781249999972</v>
      </c>
      <c r="M31" s="191">
        <f t="shared" si="9"/>
        <v>72.851650781249973</v>
      </c>
      <c r="N31" s="191">
        <f t="shared" si="9"/>
        <v>74.672942050781216</v>
      </c>
      <c r="O31" s="191">
        <f t="shared" si="9"/>
        <v>76.539765602050736</v>
      </c>
    </row>
    <row r="32" spans="1:15" x14ac:dyDescent="0.55000000000000004">
      <c r="A32" s="66"/>
      <c r="B32" s="67"/>
      <c r="C32" s="67"/>
      <c r="D32" s="67"/>
      <c r="E32" s="67"/>
      <c r="F32" s="67"/>
      <c r="G32" s="67"/>
      <c r="H32" s="67"/>
      <c r="I32" s="182"/>
      <c r="J32" s="67"/>
      <c r="K32" s="67"/>
      <c r="L32" s="67"/>
      <c r="M32" s="67"/>
      <c r="N32" s="67"/>
      <c r="O32" s="67"/>
    </row>
    <row r="33" spans="1:15" x14ac:dyDescent="0.55000000000000004">
      <c r="A33" s="66"/>
      <c r="B33" s="136" t="s">
        <v>187</v>
      </c>
      <c r="C33" s="67"/>
      <c r="D33" s="67"/>
      <c r="E33" s="67"/>
      <c r="F33" s="67"/>
      <c r="G33" s="67"/>
      <c r="H33" s="67"/>
      <c r="I33" s="67"/>
      <c r="J33" s="67"/>
      <c r="K33" s="67"/>
      <c r="L33" s="67"/>
      <c r="M33" s="67"/>
      <c r="N33" s="67"/>
      <c r="O33" s="67"/>
    </row>
    <row r="34" spans="1:15" x14ac:dyDescent="0.55000000000000004">
      <c r="A34" s="66"/>
      <c r="B34" s="67"/>
      <c r="C34" s="67"/>
      <c r="D34" s="67"/>
      <c r="E34" s="67"/>
      <c r="F34" s="67"/>
      <c r="G34" s="67"/>
      <c r="H34" s="67"/>
      <c r="I34" s="67"/>
      <c r="J34" s="67"/>
      <c r="K34" s="67"/>
      <c r="L34" s="67"/>
      <c r="M34" s="67"/>
      <c r="N34" s="67"/>
      <c r="O34" s="67"/>
    </row>
    <row r="35" spans="1:15" x14ac:dyDescent="0.55000000000000004">
      <c r="A35" s="66"/>
      <c r="B35" s="67" t="str">
        <f>'Segment feeder'!A21</f>
        <v>Revenue</v>
      </c>
      <c r="C35" s="67"/>
      <c r="D35" s="67"/>
      <c r="E35" s="67"/>
      <c r="F35" s="67"/>
      <c r="G35" s="67"/>
      <c r="H35" s="67"/>
      <c r="I35" s="67"/>
      <c r="J35" s="67"/>
      <c r="K35" s="67"/>
      <c r="L35" s="67"/>
      <c r="M35" s="67"/>
      <c r="N35" s="67"/>
      <c r="O35" s="67"/>
    </row>
    <row r="36" spans="1:15" x14ac:dyDescent="0.55000000000000004">
      <c r="A36" s="66"/>
      <c r="B36" s="66" t="str">
        <f>'GAAP feeder'!A9</f>
        <v xml:space="preserve">     Transaction-based revenue</v>
      </c>
      <c r="C36" s="69">
        <f>'GAAP feeder'!AS9/1000</f>
        <v>2471.451</v>
      </c>
      <c r="D36" s="69">
        <f>'GAAP feeder'!AT9/1000</f>
        <v>3081.0740000000001</v>
      </c>
      <c r="E36" s="69">
        <f>'GAAP feeder'!AU9/1000</f>
        <v>3294.9780000000001</v>
      </c>
      <c r="F36" s="69">
        <f>'GAAP feeder'!AV9/1000</f>
        <v>4793.1459999999997</v>
      </c>
      <c r="G36" s="69">
        <f>'GAAP feeder'!AW9/1000</f>
        <v>5701.54</v>
      </c>
      <c r="H36" s="69">
        <f>'GAAP feeder'!AX9/1000</f>
        <v>6315.3010000000004</v>
      </c>
      <c r="I36" s="69"/>
      <c r="J36" s="69"/>
      <c r="K36" s="69"/>
      <c r="L36" s="69"/>
      <c r="M36" s="69"/>
      <c r="N36" s="69"/>
      <c r="O36" s="69"/>
    </row>
    <row r="37" spans="1:15" x14ac:dyDescent="0.55000000000000004">
      <c r="A37" s="66"/>
      <c r="B37" s="66" t="str">
        <f>'GAAP feeder'!A10</f>
        <v xml:space="preserve">     Starbucks transaction-based revenue</v>
      </c>
      <c r="C37" s="69">
        <f>'GAAP feeder'!AS10/1000</f>
        <v>0</v>
      </c>
      <c r="D37" s="69">
        <f>'GAAP feeder'!AT10/1000</f>
        <v>0</v>
      </c>
      <c r="E37" s="69">
        <f>'GAAP feeder'!AU10/1000</f>
        <v>0</v>
      </c>
      <c r="F37" s="69">
        <f>'GAAP feeder'!AV10/1000</f>
        <v>0</v>
      </c>
      <c r="G37" s="69">
        <f>'GAAP feeder'!AW10/1000</f>
        <v>0</v>
      </c>
      <c r="H37" s="69">
        <f>'GAAP feeder'!AX10/1000</f>
        <v>0</v>
      </c>
      <c r="I37" s="170"/>
      <c r="J37" s="170"/>
      <c r="K37" s="170"/>
      <c r="L37" s="170"/>
      <c r="M37" s="170"/>
      <c r="N37" s="170"/>
      <c r="O37" s="170"/>
    </row>
    <row r="38" spans="1:15" x14ac:dyDescent="0.55000000000000004">
      <c r="A38" s="66"/>
      <c r="B38" s="66" t="str">
        <f>'GAAP feeder'!A11</f>
        <v xml:space="preserve">     Subscription and services-based revenue</v>
      </c>
      <c r="C38" s="69">
        <f>'GAAP feeder'!AS11/1000</f>
        <v>591.70600000000002</v>
      </c>
      <c r="D38" s="69">
        <f>'GAAP feeder'!AT11/1000</f>
        <v>1031.4559999999999</v>
      </c>
      <c r="E38" s="69">
        <f>'GAAP feeder'!AU11/1000</f>
        <v>1539.403</v>
      </c>
      <c r="F38" s="69">
        <f>'GAAP feeder'!AV11/1000</f>
        <v>2709.7310000000002</v>
      </c>
      <c r="G38" s="69">
        <f>'GAAP feeder'!AW11/1000</f>
        <v>4552.7730000000001</v>
      </c>
      <c r="H38" s="69">
        <f>'GAAP feeder'!AX11/1000</f>
        <v>5944.8419999999996</v>
      </c>
      <c r="I38" s="69"/>
      <c r="J38" s="69"/>
      <c r="K38" s="69"/>
      <c r="L38" s="69"/>
      <c r="M38" s="69"/>
      <c r="N38" s="69"/>
      <c r="O38" s="69"/>
    </row>
    <row r="39" spans="1:15" x14ac:dyDescent="0.55000000000000004">
      <c r="A39" s="66"/>
      <c r="B39" s="66" t="str">
        <f>'GAAP feeder'!A12</f>
        <v xml:space="preserve">     Hardware revenue</v>
      </c>
      <c r="C39" s="69">
        <f>'GAAP feeder'!AS12/1000</f>
        <v>68.503</v>
      </c>
      <c r="D39" s="69">
        <f>'GAAP feeder'!AT12/1000</f>
        <v>84.504999999999995</v>
      </c>
      <c r="E39" s="69">
        <f>'GAAP feeder'!AU12/1000</f>
        <v>91.653999999999996</v>
      </c>
      <c r="F39" s="69">
        <f>'GAAP feeder'!AV12/1000</f>
        <v>145.679</v>
      </c>
      <c r="G39" s="69">
        <f>'GAAP feeder'!AW12/1000</f>
        <v>164.41800000000001</v>
      </c>
      <c r="H39" s="69">
        <f>'GAAP feeder'!AX12/1000</f>
        <v>157.178</v>
      </c>
      <c r="I39" s="170"/>
      <c r="J39" s="170"/>
      <c r="K39" s="170"/>
      <c r="L39" s="170"/>
      <c r="M39" s="170"/>
      <c r="N39" s="170"/>
      <c r="O39" s="170"/>
    </row>
    <row r="40" spans="1:15" x14ac:dyDescent="0.55000000000000004">
      <c r="A40" s="66"/>
      <c r="B40" s="66" t="str">
        <f>'GAAP feeder'!A13</f>
        <v xml:space="preserve">     Bitcoin revenue</v>
      </c>
      <c r="C40" s="69">
        <f>'GAAP feeder'!AS13/1000</f>
        <v>166.517</v>
      </c>
      <c r="D40" s="69">
        <f>'GAAP feeder'!AT13/1000</f>
        <v>516.46500000000003</v>
      </c>
      <c r="E40" s="69">
        <f>'GAAP feeder'!AU13/1000</f>
        <v>4571.5429999999997</v>
      </c>
      <c r="F40" s="69">
        <f>'GAAP feeder'!AV13/1000</f>
        <v>10012.647000000001</v>
      </c>
      <c r="G40" s="69">
        <f>'GAAP feeder'!AW13/1000</f>
        <v>7112.8559999999998</v>
      </c>
      <c r="H40" s="69">
        <f>'GAAP feeder'!AX13/1000</f>
        <v>9498.3019999999997</v>
      </c>
      <c r="I40" s="69">
        <f>I9+I19</f>
        <v>10638.098240000001</v>
      </c>
      <c r="J40" s="69">
        <f t="shared" ref="J40:O40" si="10">J9+J19</f>
        <v>11170.003152000001</v>
      </c>
      <c r="K40" s="69">
        <f t="shared" si="10"/>
        <v>11728.503309600002</v>
      </c>
      <c r="L40" s="69">
        <f t="shared" si="10"/>
        <v>12314.928475080003</v>
      </c>
      <c r="M40" s="69">
        <f t="shared" si="10"/>
        <v>12930.674898834004</v>
      </c>
      <c r="N40" s="69">
        <f t="shared" si="10"/>
        <v>13577.208643775704</v>
      </c>
      <c r="O40" s="69">
        <f t="shared" si="10"/>
        <v>14256.069075964489</v>
      </c>
    </row>
    <row r="41" spans="1:15" x14ac:dyDescent="0.55000000000000004">
      <c r="A41" s="66"/>
      <c r="B41" s="67" t="str">
        <f>'GAAP feeder'!A14</f>
        <v xml:space="preserve">          Total net revenue</v>
      </c>
      <c r="C41" s="86">
        <f>'GAAP feeder'!AS14/1000</f>
        <v>3298.1770000000001</v>
      </c>
      <c r="D41" s="86">
        <f>'GAAP feeder'!AT14/1000</f>
        <v>4713.5</v>
      </c>
      <c r="E41" s="86">
        <f>'GAAP feeder'!AU14/1000</f>
        <v>9497.5779999999995</v>
      </c>
      <c r="F41" s="86">
        <f>'GAAP feeder'!AV14/1000</f>
        <v>17661.203000000001</v>
      </c>
      <c r="G41" s="86">
        <f>'GAAP feeder'!AW14/1000</f>
        <v>17531.587</v>
      </c>
      <c r="H41" s="86">
        <f>'GAAP feeder'!AX14/1000</f>
        <v>21915.623</v>
      </c>
      <c r="I41" s="86">
        <f>I11+I20+I29</f>
        <v>24749.378895480713</v>
      </c>
      <c r="J41" s="86">
        <f t="shared" ref="J41:O41" si="11">J11+J20+J29</f>
        <v>27174.814545001558</v>
      </c>
      <c r="K41" s="86">
        <f t="shared" si="11"/>
        <v>29822.950676038268</v>
      </c>
      <c r="L41" s="86">
        <f t="shared" si="11"/>
        <v>32520.117026153595</v>
      </c>
      <c r="M41" s="86">
        <f t="shared" si="11"/>
        <v>35101.273843762276</v>
      </c>
      <c r="N41" s="86">
        <f t="shared" si="11"/>
        <v>37319.165175055532</v>
      </c>
      <c r="O41" s="86">
        <f t="shared" si="11"/>
        <v>39548.215905536963</v>
      </c>
    </row>
    <row r="42" spans="1:15" x14ac:dyDescent="0.55000000000000004">
      <c r="A42" s="66"/>
      <c r="B42" s="67" t="s">
        <v>395</v>
      </c>
      <c r="C42" s="69">
        <f t="shared" ref="C42:H42" si="12">C36+C38</f>
        <v>3063.1570000000002</v>
      </c>
      <c r="D42" s="69">
        <f t="shared" si="12"/>
        <v>4112.53</v>
      </c>
      <c r="E42" s="69">
        <f t="shared" si="12"/>
        <v>4834.3810000000003</v>
      </c>
      <c r="F42" s="69">
        <f t="shared" si="12"/>
        <v>7502.8770000000004</v>
      </c>
      <c r="G42" s="69">
        <f t="shared" si="12"/>
        <v>10254.313</v>
      </c>
      <c r="H42" s="69">
        <f t="shared" si="12"/>
        <v>12260.143</v>
      </c>
      <c r="I42" s="69"/>
      <c r="J42" s="69"/>
      <c r="K42" s="69"/>
      <c r="L42" s="69"/>
      <c r="M42" s="69"/>
      <c r="N42" s="69"/>
      <c r="O42" s="69"/>
    </row>
    <row r="43" spans="1:15" x14ac:dyDescent="0.55000000000000004">
      <c r="A43" s="66"/>
      <c r="B43" s="66"/>
      <c r="C43" s="69"/>
      <c r="D43" s="69"/>
      <c r="E43" s="69"/>
      <c r="F43" s="69"/>
      <c r="G43" s="69"/>
      <c r="H43" s="69"/>
      <c r="I43" s="66"/>
      <c r="J43" s="66"/>
      <c r="K43" s="66"/>
      <c r="L43" s="66"/>
      <c r="M43" s="66"/>
      <c r="N43" s="66"/>
      <c r="O43" s="66"/>
    </row>
    <row r="44" spans="1:15" x14ac:dyDescent="0.55000000000000004">
      <c r="A44" s="66"/>
      <c r="B44" s="66" t="str">
        <f>'GAAP feeder'!A16</f>
        <v>Cost of revenue</v>
      </c>
      <c r="C44" s="69"/>
      <c r="D44" s="69"/>
      <c r="E44" s="69"/>
      <c r="F44" s="69"/>
      <c r="G44" s="69"/>
      <c r="H44" s="69"/>
      <c r="I44" s="66"/>
      <c r="J44" s="66"/>
      <c r="K44" s="66"/>
      <c r="L44" s="66"/>
      <c r="M44" s="66"/>
      <c r="N44" s="66"/>
      <c r="O44" s="66"/>
    </row>
    <row r="45" spans="1:15" x14ac:dyDescent="0.55000000000000004">
      <c r="A45" s="66"/>
      <c r="B45" s="66" t="s">
        <v>349</v>
      </c>
      <c r="C45" s="69">
        <f>'GAAP feeder'!AS17/1000</f>
        <v>1558.5619999999999</v>
      </c>
      <c r="D45" s="69">
        <f>'GAAP feeder'!AT17/1000</f>
        <v>1938.5340000000001</v>
      </c>
      <c r="E45" s="69">
        <f>'GAAP feeder'!AU17/1000</f>
        <v>1916.644</v>
      </c>
      <c r="F45" s="69">
        <f>'GAAP feeder'!AV17/1000</f>
        <v>2719.502</v>
      </c>
      <c r="G45" s="69">
        <f>'GAAP feeder'!AW17/1000</f>
        <v>3364.0279999999998</v>
      </c>
      <c r="H45" s="69">
        <f>'GAAP feeder'!AX17/1000</f>
        <v>3702.0160000000001</v>
      </c>
      <c r="I45" s="69">
        <f>I46*I36</f>
        <v>0</v>
      </c>
      <c r="J45" s="69">
        <f t="shared" ref="J45:O45" si="13">J46*J36</f>
        <v>0</v>
      </c>
      <c r="K45" s="69">
        <f t="shared" si="13"/>
        <v>0</v>
      </c>
      <c r="L45" s="69">
        <f t="shared" si="13"/>
        <v>0</v>
      </c>
      <c r="M45" s="69">
        <f t="shared" si="13"/>
        <v>0</v>
      </c>
      <c r="N45" s="69">
        <f t="shared" si="13"/>
        <v>0</v>
      </c>
      <c r="O45" s="69">
        <f t="shared" si="13"/>
        <v>0</v>
      </c>
    </row>
    <row r="46" spans="1:15" x14ac:dyDescent="0.55000000000000004">
      <c r="A46" s="66"/>
      <c r="B46" s="66" t="s">
        <v>394</v>
      </c>
      <c r="C46" s="171">
        <f t="shared" ref="C46:H46" si="14">C45/C36</f>
        <v>0.63062630009658294</v>
      </c>
      <c r="D46" s="171">
        <f t="shared" si="14"/>
        <v>0.62917476178761045</v>
      </c>
      <c r="E46" s="171">
        <f t="shared" si="14"/>
        <v>0.5816864331112378</v>
      </c>
      <c r="F46" s="171">
        <f t="shared" si="14"/>
        <v>0.56737307814116245</v>
      </c>
      <c r="G46" s="171">
        <f t="shared" si="14"/>
        <v>0.59002094171048525</v>
      </c>
      <c r="H46" s="171">
        <f t="shared" si="14"/>
        <v>0.5861978708536616</v>
      </c>
      <c r="I46" s="138">
        <f>H46-0.025%</f>
        <v>0.58594787085366162</v>
      </c>
      <c r="J46" s="138">
        <f t="shared" ref="J46:O46" si="15">I46-0.025%</f>
        <v>0.58569787085366165</v>
      </c>
      <c r="K46" s="138">
        <f t="shared" si="15"/>
        <v>0.58544787085366168</v>
      </c>
      <c r="L46" s="138">
        <f t="shared" si="15"/>
        <v>0.58519787085366171</v>
      </c>
      <c r="M46" s="138">
        <f t="shared" si="15"/>
        <v>0.58494787085366173</v>
      </c>
      <c r="N46" s="138">
        <f t="shared" si="15"/>
        <v>0.58469787085366176</v>
      </c>
      <c r="O46" s="138">
        <f t="shared" si="15"/>
        <v>0.58444787085366179</v>
      </c>
    </row>
    <row r="47" spans="1:15" x14ac:dyDescent="0.55000000000000004">
      <c r="A47" s="66"/>
      <c r="B47" s="66"/>
      <c r="C47" s="69"/>
      <c r="D47" s="69"/>
      <c r="E47" s="69"/>
      <c r="F47" s="69"/>
      <c r="G47" s="69"/>
      <c r="H47" s="69"/>
      <c r="I47" s="66"/>
      <c r="J47" s="66"/>
      <c r="K47" s="66"/>
      <c r="L47" s="66"/>
      <c r="M47" s="66"/>
      <c r="N47" s="66"/>
      <c r="O47" s="66"/>
    </row>
    <row r="48" spans="1:15" x14ac:dyDescent="0.55000000000000004">
      <c r="A48" s="66"/>
      <c r="B48" s="66" t="str">
        <f>'GAAP feeder'!A18</f>
        <v xml:space="preserve">     Starbucks transaction-based costs</v>
      </c>
      <c r="C48" s="69">
        <f>'GAAP feeder'!AS18/1000</f>
        <v>0</v>
      </c>
      <c r="D48" s="69">
        <f>'GAAP feeder'!AT18/1000</f>
        <v>0</v>
      </c>
      <c r="E48" s="69">
        <f>'GAAP feeder'!AU18/1000</f>
        <v>0</v>
      </c>
      <c r="F48" s="69">
        <f>'GAAP feeder'!AV18/1000</f>
        <v>0</v>
      </c>
      <c r="G48" s="69">
        <f>'GAAP feeder'!AW18/1000</f>
        <v>0</v>
      </c>
      <c r="H48" s="69">
        <f>'GAAP feeder'!AX18/1000</f>
        <v>0</v>
      </c>
      <c r="I48" s="191">
        <v>0</v>
      </c>
      <c r="J48" s="191">
        <v>0</v>
      </c>
      <c r="K48" s="191">
        <v>0</v>
      </c>
      <c r="L48" s="191">
        <v>0</v>
      </c>
      <c r="M48" s="191">
        <v>0</v>
      </c>
      <c r="N48" s="191">
        <v>0</v>
      </c>
      <c r="O48" s="191">
        <v>0</v>
      </c>
    </row>
    <row r="49" spans="1:17" x14ac:dyDescent="0.55000000000000004">
      <c r="A49" s="66"/>
      <c r="B49" s="66" t="str">
        <f>'GAAP feeder'!A19</f>
        <v xml:space="preserve">     Subscription and services-based costs</v>
      </c>
      <c r="C49" s="69">
        <f>'GAAP feeder'!AS19/1000</f>
        <v>169.88399999999999</v>
      </c>
      <c r="D49" s="69">
        <f>'GAAP feeder'!AT19/1000</f>
        <v>238.32</v>
      </c>
      <c r="E49" s="69">
        <f>'GAAP feeder'!AU19/1000</f>
        <v>228.649</v>
      </c>
      <c r="F49" s="69">
        <f>'GAAP feeder'!AV19/1000</f>
        <v>483.05599999999998</v>
      </c>
      <c r="G49" s="69">
        <f>'GAAP feeder'!AW19/1000</f>
        <v>861.745</v>
      </c>
      <c r="H49" s="69">
        <f>'GAAP feeder'!AX19/1000</f>
        <v>1075.1289999999999</v>
      </c>
      <c r="I49" s="66"/>
      <c r="J49" s="66"/>
      <c r="K49" s="66"/>
      <c r="L49" s="66"/>
      <c r="M49" s="66"/>
      <c r="N49" s="66"/>
      <c r="O49" s="66"/>
    </row>
    <row r="50" spans="1:17" x14ac:dyDescent="0.55000000000000004">
      <c r="A50" s="66"/>
      <c r="B50" s="66" t="str">
        <f>'GAAP feeder'!A20</f>
        <v xml:space="preserve">     Hardware costs</v>
      </c>
      <c r="C50" s="69">
        <f>'GAAP feeder'!AS20/1000</f>
        <v>94.114000000000004</v>
      </c>
      <c r="D50" s="69">
        <f>'GAAP feeder'!AT20/1000</f>
        <v>138.72200000000001</v>
      </c>
      <c r="E50" s="69">
        <f>'GAAP feeder'!AU20/1000</f>
        <v>144.34200000000001</v>
      </c>
      <c r="F50" s="69">
        <f>'GAAP feeder'!AV20/1000</f>
        <v>221.185</v>
      </c>
      <c r="G50" s="69">
        <f>'GAAP feeder'!AW20/1000</f>
        <v>286.995</v>
      </c>
      <c r="H50" s="69">
        <f>'GAAP feeder'!AX20/1000</f>
        <v>267.64999999999998</v>
      </c>
      <c r="I50" s="66"/>
      <c r="J50" s="66"/>
      <c r="K50" s="66"/>
      <c r="L50" s="66"/>
      <c r="M50" s="66"/>
      <c r="N50" s="66"/>
      <c r="O50" s="66"/>
    </row>
    <row r="51" spans="1:17" x14ac:dyDescent="0.55000000000000004">
      <c r="A51" s="66"/>
      <c r="B51" s="66" t="str">
        <f>'GAAP feeder'!A21</f>
        <v xml:space="preserve">     Bitcoin costs</v>
      </c>
      <c r="C51" s="69">
        <f>'GAAP feeder'!AS21/1000</f>
        <v>164.827</v>
      </c>
      <c r="D51" s="69">
        <f>'GAAP feeder'!AT21/1000</f>
        <v>508.23899999999998</v>
      </c>
      <c r="E51" s="69">
        <f>'GAAP feeder'!AU21/1000</f>
        <v>4474.5339999999997</v>
      </c>
      <c r="F51" s="69">
        <f>'GAAP feeder'!AV21/1000</f>
        <v>9794.9920000000002</v>
      </c>
      <c r="G51" s="69">
        <f>'GAAP feeder'!AW21/1000</f>
        <v>6956.7330000000002</v>
      </c>
      <c r="H51" s="69">
        <f>'GAAP feeder'!AX21/1000</f>
        <v>9293.1129999999994</v>
      </c>
      <c r="I51" s="69">
        <f t="shared" ref="I51:O51" si="16">I281</f>
        <v>10340.23148928</v>
      </c>
      <c r="J51" s="69">
        <f t="shared" si="16"/>
        <v>10868.413066896001</v>
      </c>
      <c r="K51" s="69">
        <f t="shared" si="16"/>
        <v>11423.562223550402</v>
      </c>
      <c r="L51" s="69">
        <f t="shared" si="16"/>
        <v>12007.055263203003</v>
      </c>
      <c r="M51" s="69">
        <f t="shared" si="16"/>
        <v>12620.338701261988</v>
      </c>
      <c r="N51" s="69">
        <f t="shared" si="16"/>
        <v>13264.932844968864</v>
      </c>
      <c r="O51" s="69">
        <f t="shared" si="16"/>
        <v>13942.435556293271</v>
      </c>
    </row>
    <row r="52" spans="1:17" x14ac:dyDescent="0.55000000000000004">
      <c r="A52" s="66"/>
      <c r="B52" s="87" t="str">
        <f>'GAAP feeder'!A22</f>
        <v xml:space="preserve">     Amortization of acquired technology assets(1)</v>
      </c>
      <c r="C52" s="88">
        <f>'GAAP feeder'!AS22/1000</f>
        <v>7.09</v>
      </c>
      <c r="D52" s="88">
        <f>'GAAP feeder'!AT22/1000</f>
        <v>0</v>
      </c>
      <c r="E52" s="88">
        <f>'GAAP feeder'!AU22/1000</f>
        <v>0</v>
      </c>
      <c r="F52" s="88">
        <f>'GAAP feeder'!AV22/1000</f>
        <v>22.645</v>
      </c>
      <c r="G52" s="88">
        <f>'GAAP feeder'!AW22/1000</f>
        <v>70.194000000000003</v>
      </c>
      <c r="H52" s="88">
        <f>'GAAP feeder'!AX22/1000</f>
        <v>72.828999999999994</v>
      </c>
      <c r="I52" s="232">
        <f>H52*1.1</f>
        <v>80.111900000000006</v>
      </c>
      <c r="J52" s="232">
        <f t="shared" ref="J52:O52" si="17">I52*1.1</f>
        <v>88.123090000000019</v>
      </c>
      <c r="K52" s="232">
        <f t="shared" si="17"/>
        <v>96.935399000000032</v>
      </c>
      <c r="L52" s="232">
        <f t="shared" si="17"/>
        <v>106.62893890000005</v>
      </c>
      <c r="M52" s="232">
        <f t="shared" si="17"/>
        <v>117.29183279000007</v>
      </c>
      <c r="N52" s="232">
        <f t="shared" si="17"/>
        <v>129.0210160690001</v>
      </c>
      <c r="O52" s="232">
        <f t="shared" si="17"/>
        <v>141.92311767590013</v>
      </c>
    </row>
    <row r="53" spans="1:17" x14ac:dyDescent="0.55000000000000004">
      <c r="A53" s="66"/>
      <c r="B53" s="66" t="str">
        <f>'GAAP feeder'!A23</f>
        <v xml:space="preserve">          Total cost of revenue</v>
      </c>
      <c r="C53" s="69">
        <f>'GAAP feeder'!AS23/1000</f>
        <v>1994.4770000000001</v>
      </c>
      <c r="D53" s="69">
        <f>'GAAP feeder'!AT23/1000</f>
        <v>2823.8150000000001</v>
      </c>
      <c r="E53" s="69">
        <f>'GAAP feeder'!AU23/1000</f>
        <v>6764.1689999999999</v>
      </c>
      <c r="F53" s="69">
        <f>'GAAP feeder'!AV23/1000</f>
        <v>13241.38</v>
      </c>
      <c r="G53" s="69">
        <f>'GAAP feeder'!AW23/1000</f>
        <v>11539.695</v>
      </c>
      <c r="H53" s="69">
        <f>'GAAP feeder'!AX23/1000</f>
        <v>14410.736999999999</v>
      </c>
      <c r="I53" s="69">
        <f>I41-I54</f>
        <v>15851.969956905185</v>
      </c>
      <c r="J53" s="69">
        <f t="shared" ref="J53:O53" si="18">J41-J54</f>
        <v>17009.315398451276</v>
      </c>
      <c r="K53" s="69">
        <f t="shared" si="18"/>
        <v>18317.518097723172</v>
      </c>
      <c r="L53" s="69">
        <f t="shared" si="18"/>
        <v>19676.536385535852</v>
      </c>
      <c r="M53" s="69">
        <f t="shared" si="18"/>
        <v>20962.41823884617</v>
      </c>
      <c r="N53" s="69">
        <f t="shared" si="18"/>
        <v>22117.383704172447</v>
      </c>
      <c r="O53" s="69">
        <f t="shared" si="18"/>
        <v>23314.03182210739</v>
      </c>
    </row>
    <row r="54" spans="1:17" x14ac:dyDescent="0.55000000000000004">
      <c r="A54" s="66"/>
      <c r="B54" s="67" t="str">
        <f>'GAAP feeder'!A24</f>
        <v xml:space="preserve">          Gross profit</v>
      </c>
      <c r="C54" s="86">
        <f>'GAAP feeder'!AS24/1000</f>
        <v>1303.7</v>
      </c>
      <c r="D54" s="86">
        <f>'GAAP feeder'!AT24/1000</f>
        <v>1889.6849999999999</v>
      </c>
      <c r="E54" s="86">
        <f>'GAAP feeder'!AU24/1000</f>
        <v>2733.4090000000001</v>
      </c>
      <c r="F54" s="86">
        <f>'GAAP feeder'!AV24/1000</f>
        <v>4419.8230000000003</v>
      </c>
      <c r="G54" s="86">
        <f>'GAAP feeder'!AW24/1000</f>
        <v>5991.8919999999998</v>
      </c>
      <c r="H54" s="86">
        <f>'GAAP feeder'!AX24/1000</f>
        <v>7504.8860000000004</v>
      </c>
      <c r="I54" s="86">
        <f>I13+I22+I31</f>
        <v>8897.4089385755287</v>
      </c>
      <c r="J54" s="86">
        <f t="shared" ref="J54:O54" si="19">J13+J22+J31</f>
        <v>10165.499146550281</v>
      </c>
      <c r="K54" s="86">
        <f>K13+K22+K31</f>
        <v>11505.432578315094</v>
      </c>
      <c r="L54" s="86">
        <f t="shared" si="19"/>
        <v>12843.580640617745</v>
      </c>
      <c r="M54" s="86">
        <f t="shared" si="19"/>
        <v>14138.855604916105</v>
      </c>
      <c r="N54" s="86">
        <f t="shared" si="19"/>
        <v>15201.781470883083</v>
      </c>
      <c r="O54" s="86">
        <f t="shared" si="19"/>
        <v>16234.184083429573</v>
      </c>
      <c r="Q54" t="s">
        <v>687</v>
      </c>
    </row>
    <row r="55" spans="1:17" x14ac:dyDescent="0.55000000000000004">
      <c r="A55" s="66"/>
      <c r="B55" s="66" t="s">
        <v>689</v>
      </c>
      <c r="C55" s="86"/>
      <c r="D55" s="134">
        <f>D54/D41</f>
        <v>0.40090909090909088</v>
      </c>
      <c r="E55" s="134">
        <f t="shared" ref="E55:O55" si="20">E54/E41</f>
        <v>0.28780063717297194</v>
      </c>
      <c r="F55" s="134">
        <f t="shared" si="20"/>
        <v>0.25025605560391329</v>
      </c>
      <c r="G55" s="134">
        <f t="shared" si="20"/>
        <v>0.34177693097607192</v>
      </c>
      <c r="H55" s="134">
        <f t="shared" si="20"/>
        <v>0.34244456568722692</v>
      </c>
      <c r="I55" s="134">
        <f t="shared" si="20"/>
        <v>0.35950029195278971</v>
      </c>
      <c r="J55" s="134">
        <f t="shared" si="20"/>
        <v>0.37407795846099301</v>
      </c>
      <c r="K55" s="134">
        <f t="shared" si="20"/>
        <v>0.38579122177737163</v>
      </c>
      <c r="L55" s="134">
        <f t="shared" si="20"/>
        <v>0.3949426329028452</v>
      </c>
      <c r="M55" s="134">
        <f t="shared" si="20"/>
        <v>0.40280178058064042</v>
      </c>
      <c r="N55" s="134">
        <f t="shared" si="20"/>
        <v>0.40734516432977691</v>
      </c>
      <c r="O55" s="134">
        <f t="shared" si="20"/>
        <v>0.41049093395782488</v>
      </c>
    </row>
    <row r="56" spans="1:17" x14ac:dyDescent="0.55000000000000004">
      <c r="A56" s="66"/>
      <c r="B56" s="67" t="s">
        <v>243</v>
      </c>
      <c r="C56" s="86"/>
      <c r="D56" s="180">
        <f>D54/C54-1</f>
        <v>0.44947840760911251</v>
      </c>
      <c r="E56" s="180">
        <f>E54/D54-1</f>
        <v>0.44648922968642935</v>
      </c>
      <c r="F56" s="180">
        <f>F54/E54-1</f>
        <v>0.61696365234767292</v>
      </c>
      <c r="G56" s="180">
        <f>G54/F54-1</f>
        <v>0.3556859629899205</v>
      </c>
      <c r="H56" s="180">
        <f>H54/G54-1</f>
        <v>0.25250688764083207</v>
      </c>
      <c r="I56" s="180">
        <f t="shared" ref="I56:O56" si="21">I54/H54-1</f>
        <v>0.1855488462550301</v>
      </c>
      <c r="J56" s="180">
        <f t="shared" si="21"/>
        <v>0.14252353878856017</v>
      </c>
      <c r="K56" s="180">
        <f t="shared" si="21"/>
        <v>0.13181186801038969</v>
      </c>
      <c r="L56" s="180">
        <f t="shared" si="21"/>
        <v>0.11630575844881585</v>
      </c>
      <c r="M56" s="180">
        <f t="shared" si="21"/>
        <v>0.10084998884205709</v>
      </c>
      <c r="N56" s="180">
        <f t="shared" si="21"/>
        <v>7.5177644900581431E-2</v>
      </c>
      <c r="O56" s="180">
        <f t="shared" si="21"/>
        <v>6.7913264937002005E-2</v>
      </c>
      <c r="Q56" t="s">
        <v>670</v>
      </c>
    </row>
    <row r="57" spans="1:17" x14ac:dyDescent="0.55000000000000004">
      <c r="A57" s="66"/>
      <c r="B57" s="66"/>
      <c r="C57" s="69"/>
      <c r="D57" s="69"/>
      <c r="E57" s="69"/>
      <c r="F57" s="69"/>
      <c r="G57" s="69"/>
      <c r="H57" s="69"/>
      <c r="I57" s="69"/>
      <c r="J57" s="66"/>
      <c r="K57" s="66"/>
      <c r="L57" s="66"/>
      <c r="M57" s="66"/>
      <c r="N57" s="66"/>
      <c r="O57" s="66"/>
    </row>
    <row r="58" spans="1:17" x14ac:dyDescent="0.55000000000000004">
      <c r="A58" s="66"/>
      <c r="B58" s="66" t="str">
        <f>'GAAP feeder'!A26</f>
        <v>Operating expenses</v>
      </c>
      <c r="C58" s="69"/>
      <c r="D58" s="69"/>
      <c r="E58" s="69"/>
      <c r="F58" s="69"/>
      <c r="G58" s="69"/>
      <c r="H58" s="69"/>
      <c r="I58" s="66"/>
      <c r="J58" s="66"/>
      <c r="K58" s="66"/>
      <c r="L58" s="66"/>
      <c r="M58" s="66"/>
      <c r="N58" s="66"/>
      <c r="O58" s="66"/>
    </row>
    <row r="59" spans="1:17" x14ac:dyDescent="0.55000000000000004">
      <c r="A59" s="66"/>
      <c r="B59" s="66" t="str">
        <f>'GAAP feeder'!A27</f>
        <v xml:space="preserve">     Product development</v>
      </c>
      <c r="C59" s="69">
        <f>'GAAP feeder'!AS27/1000</f>
        <v>497.47899999999998</v>
      </c>
      <c r="D59" s="69">
        <f>'GAAP feeder'!AT27/1000</f>
        <v>674.16499999999996</v>
      </c>
      <c r="E59" s="69">
        <f>'GAAP feeder'!AU27/1000</f>
        <v>885.68100000000004</v>
      </c>
      <c r="F59" s="69">
        <f>'GAAP feeder'!AV27/1000</f>
        <v>1383.8409999999999</v>
      </c>
      <c r="G59" s="69">
        <f>'GAAP feeder'!AW27/1000</f>
        <v>2135.6120000000001</v>
      </c>
      <c r="H59" s="69">
        <f>'GAAP feeder'!AX27/1000</f>
        <v>2720.819</v>
      </c>
      <c r="I59" s="66"/>
      <c r="J59" s="66"/>
      <c r="K59" s="66"/>
      <c r="L59" s="66"/>
      <c r="M59" s="66"/>
      <c r="N59" s="66"/>
      <c r="O59" s="66"/>
    </row>
    <row r="60" spans="1:17" x14ac:dyDescent="0.55000000000000004">
      <c r="A60" s="66"/>
      <c r="B60" s="66" t="s">
        <v>709</v>
      </c>
      <c r="C60" s="134">
        <f t="shared" ref="C60:H60" si="22">C59/C$54</f>
        <v>0.38159008974457309</v>
      </c>
      <c r="D60" s="134">
        <f t="shared" si="22"/>
        <v>0.35676051828743943</v>
      </c>
      <c r="E60" s="134">
        <f t="shared" si="22"/>
        <v>0.32402066430600029</v>
      </c>
      <c r="F60" s="134">
        <f t="shared" si="22"/>
        <v>0.3130987372118747</v>
      </c>
      <c r="G60" s="134">
        <f t="shared" si="22"/>
        <v>0.35641697146744306</v>
      </c>
      <c r="H60" s="134">
        <f t="shared" si="22"/>
        <v>0.36253968414710092</v>
      </c>
      <c r="I60" s="66"/>
      <c r="J60" s="66"/>
      <c r="K60" s="66"/>
      <c r="L60" s="66"/>
      <c r="M60" s="66"/>
      <c r="N60" s="66"/>
      <c r="O60" s="66"/>
    </row>
    <row r="61" spans="1:17" x14ac:dyDescent="0.55000000000000004">
      <c r="A61" s="66"/>
      <c r="B61" s="66"/>
      <c r="C61" s="69"/>
      <c r="D61" s="69"/>
      <c r="E61" s="69"/>
      <c r="F61" s="69"/>
      <c r="G61" s="69"/>
      <c r="H61" s="69"/>
      <c r="I61" s="66"/>
      <c r="J61" s="66"/>
      <c r="K61" s="66"/>
      <c r="L61" s="66"/>
      <c r="M61" s="66"/>
      <c r="N61" s="66"/>
      <c r="O61" s="66"/>
    </row>
    <row r="62" spans="1:17" x14ac:dyDescent="0.55000000000000004">
      <c r="A62" s="66"/>
      <c r="B62" s="66" t="str">
        <f>'GAAP feeder'!A28</f>
        <v xml:space="preserve">     Sales and marketing</v>
      </c>
      <c r="C62" s="69">
        <f>'GAAP feeder'!AS28/1000</f>
        <v>411.15100000000001</v>
      </c>
      <c r="D62" s="69">
        <f>'GAAP feeder'!AT28/1000</f>
        <v>625.12599999999998</v>
      </c>
      <c r="E62" s="69">
        <f>'GAAP feeder'!AU28/1000</f>
        <v>1109.67</v>
      </c>
      <c r="F62" s="69">
        <f>'GAAP feeder'!AV28/1000</f>
        <v>1617.1890000000001</v>
      </c>
      <c r="G62" s="69">
        <f>'GAAP feeder'!AW28/1000</f>
        <v>2057.951</v>
      </c>
      <c r="H62" s="69">
        <f>'GAAP feeder'!AX28/1000</f>
        <v>2019.009</v>
      </c>
      <c r="I62" s="66"/>
      <c r="J62" s="66"/>
      <c r="K62" s="66"/>
      <c r="L62" s="66"/>
      <c r="M62" s="66"/>
      <c r="N62" s="66"/>
      <c r="O62" s="66"/>
    </row>
    <row r="63" spans="1:17" x14ac:dyDescent="0.55000000000000004">
      <c r="A63" s="66"/>
      <c r="B63" s="66" t="s">
        <v>709</v>
      </c>
      <c r="C63" s="134">
        <f t="shared" ref="C63:H63" si="23">C62/C$54</f>
        <v>0.315372401626141</v>
      </c>
      <c r="D63" s="134">
        <f t="shared" si="23"/>
        <v>0.33080963229321286</v>
      </c>
      <c r="E63" s="134">
        <f t="shared" si="23"/>
        <v>0.40596559095254314</v>
      </c>
      <c r="F63" s="134">
        <f t="shared" si="23"/>
        <v>0.36589451659037026</v>
      </c>
      <c r="G63" s="134">
        <f t="shared" si="23"/>
        <v>0.34345595681631114</v>
      </c>
      <c r="H63" s="134">
        <f t="shared" si="23"/>
        <v>0.26902593856855384</v>
      </c>
      <c r="I63" s="66"/>
      <c r="J63" s="66"/>
      <c r="K63" s="66"/>
      <c r="L63" s="66"/>
      <c r="M63" s="66"/>
      <c r="N63" s="66"/>
      <c r="O63" s="66"/>
    </row>
    <row r="64" spans="1:17" x14ac:dyDescent="0.55000000000000004">
      <c r="A64" s="66"/>
      <c r="B64" s="66"/>
      <c r="C64" s="69"/>
      <c r="D64" s="69"/>
      <c r="E64" s="69"/>
      <c r="F64" s="69"/>
      <c r="G64" s="69"/>
      <c r="H64" s="69"/>
      <c r="I64" s="66"/>
      <c r="J64" s="66"/>
      <c r="K64" s="66"/>
      <c r="L64" s="66"/>
      <c r="M64" s="66"/>
      <c r="N64" s="66"/>
      <c r="O64" s="66"/>
    </row>
    <row r="65" spans="1:15" x14ac:dyDescent="0.55000000000000004">
      <c r="A65" s="66"/>
      <c r="B65" s="66" t="str">
        <f>'GAAP feeder'!A29</f>
        <v xml:space="preserve">     General and administrative</v>
      </c>
      <c r="C65" s="69">
        <f>'GAAP feeder'!AS29/1000</f>
        <v>339.245</v>
      </c>
      <c r="D65" s="69">
        <f>'GAAP feeder'!AT29/1000</f>
        <v>436.87799999999999</v>
      </c>
      <c r="E65" s="69">
        <f>'GAAP feeder'!AU29/1000</f>
        <v>579.20299999999997</v>
      </c>
      <c r="F65" s="69">
        <f>'GAAP feeder'!AV29/1000</f>
        <v>982.81700000000001</v>
      </c>
      <c r="G65" s="69">
        <f>'GAAP feeder'!AW29/1000</f>
        <v>1686.8489999999999</v>
      </c>
      <c r="H65" s="69">
        <f>'GAAP feeder'!AX29/1000</f>
        <v>2209.19</v>
      </c>
      <c r="I65" s="66"/>
      <c r="J65" s="66"/>
      <c r="K65" s="66"/>
      <c r="L65" s="66"/>
      <c r="M65" s="66"/>
      <c r="N65" s="66"/>
      <c r="O65" s="66"/>
    </row>
    <row r="66" spans="1:15" x14ac:dyDescent="0.55000000000000004">
      <c r="A66" s="66"/>
      <c r="B66" s="66" t="s">
        <v>709</v>
      </c>
      <c r="C66" s="134">
        <f t="shared" ref="C66:H66" si="24">C65/C$54</f>
        <v>0.26021707448032522</v>
      </c>
      <c r="D66" s="134">
        <f t="shared" si="24"/>
        <v>0.23119091277117615</v>
      </c>
      <c r="E66" s="134">
        <f t="shared" si="24"/>
        <v>0.21189767063765427</v>
      </c>
      <c r="F66" s="134">
        <f t="shared" si="24"/>
        <v>0.22236569201979353</v>
      </c>
      <c r="G66" s="134">
        <f t="shared" si="24"/>
        <v>0.2815219299680301</v>
      </c>
      <c r="H66" s="134">
        <f t="shared" si="24"/>
        <v>0.29436689644586206</v>
      </c>
      <c r="I66" s="66"/>
      <c r="J66" s="66"/>
      <c r="K66" s="66"/>
      <c r="L66" s="66"/>
      <c r="M66" s="66"/>
      <c r="N66" s="66"/>
      <c r="O66" s="66"/>
    </row>
    <row r="67" spans="1:15" x14ac:dyDescent="0.55000000000000004">
      <c r="A67" s="66"/>
      <c r="B67" s="66"/>
      <c r="C67" s="69"/>
      <c r="D67" s="69"/>
      <c r="E67" s="69"/>
      <c r="F67" s="69"/>
      <c r="G67" s="69"/>
      <c r="H67" s="69"/>
      <c r="I67" s="66"/>
      <c r="J67" s="66"/>
      <c r="K67" s="66"/>
      <c r="L67" s="66"/>
      <c r="M67" s="66"/>
      <c r="N67" s="66"/>
      <c r="O67" s="66"/>
    </row>
    <row r="68" spans="1:15" x14ac:dyDescent="0.55000000000000004">
      <c r="A68" s="66"/>
      <c r="B68" s="66" t="str">
        <f>'GAAP feeder'!A30</f>
        <v xml:space="preserve">     Transaction, loan, and consumer receivable losses</v>
      </c>
      <c r="C68" s="69">
        <f>'GAAP feeder'!AS30/1000</f>
        <v>88.076999999999998</v>
      </c>
      <c r="D68" s="69">
        <f>'GAAP feeder'!AT30/1000</f>
        <v>126.959</v>
      </c>
      <c r="E68" s="69">
        <f>'GAAP feeder'!AU30/1000</f>
        <v>177.67</v>
      </c>
      <c r="F68" s="69">
        <f>'GAAP feeder'!AV30/1000</f>
        <v>187.99100000000001</v>
      </c>
      <c r="G68" s="69">
        <f>'GAAP feeder'!AW30/1000</f>
        <v>550.68299999999999</v>
      </c>
      <c r="H68" s="69">
        <f>'GAAP feeder'!AX30/1000</f>
        <v>660.66300000000001</v>
      </c>
      <c r="I68" s="191">
        <v>780</v>
      </c>
      <c r="J68" s="191">
        <f t="shared" ref="J68:O68" si="25">I68/(I41-I40)*(J41-J40)</f>
        <v>884.66477220071602</v>
      </c>
      <c r="K68" s="191">
        <f t="shared" si="25"/>
        <v>1000.1692468883191</v>
      </c>
      <c r="L68" s="191">
        <f t="shared" si="25"/>
        <v>1116.8403105721181</v>
      </c>
      <c r="M68" s="191">
        <f t="shared" si="25"/>
        <v>1225.4782254881704</v>
      </c>
      <c r="N68" s="191">
        <f t="shared" si="25"/>
        <v>1312.3349004617619</v>
      </c>
      <c r="O68" s="191">
        <f t="shared" si="25"/>
        <v>1398.0215551452713</v>
      </c>
    </row>
    <row r="69" spans="1:15" x14ac:dyDescent="0.55000000000000004">
      <c r="A69" s="66"/>
      <c r="B69" s="66" t="str">
        <f>'GAAP feeder'!A31</f>
        <v xml:space="preserve">     Bitcoin impairment losses</v>
      </c>
      <c r="C69" s="69">
        <f>'GAAP feeder'!AS31/1000</f>
        <v>0</v>
      </c>
      <c r="D69" s="69">
        <f>'GAAP feeder'!AT31/1000</f>
        <v>0</v>
      </c>
      <c r="E69" s="69">
        <f>'GAAP feeder'!AU31/1000</f>
        <v>0</v>
      </c>
      <c r="F69" s="69">
        <f>'GAAP feeder'!AV31/1000</f>
        <v>71.126000000000005</v>
      </c>
      <c r="G69" s="69">
        <f>'GAAP feeder'!AW31/1000</f>
        <v>46.570999999999998</v>
      </c>
      <c r="H69" s="69">
        <f>'GAAP feeder'!AX31/1000</f>
        <v>0</v>
      </c>
      <c r="I69" s="66"/>
      <c r="J69" s="66"/>
      <c r="K69" s="66"/>
      <c r="L69" s="66"/>
      <c r="M69" s="66"/>
      <c r="N69" s="66"/>
      <c r="O69" s="66"/>
    </row>
    <row r="70" spans="1:15" x14ac:dyDescent="0.55000000000000004">
      <c r="A70" s="66"/>
      <c r="B70" s="87" t="str">
        <f>'GAAP feeder'!A32</f>
        <v xml:space="preserve">     Amortization of customer and other acquired intangible assets(2)</v>
      </c>
      <c r="C70" s="88">
        <f>'GAAP feeder'!AS32/1000</f>
        <v>4.3620000000000001</v>
      </c>
      <c r="D70" s="88">
        <f>'GAAP feeder'!AT32/1000</f>
        <v>0</v>
      </c>
      <c r="E70" s="88">
        <f>'GAAP feeder'!AU32/1000</f>
        <v>0</v>
      </c>
      <c r="F70" s="88">
        <f>'GAAP feeder'!AV32/1000</f>
        <v>15.747</v>
      </c>
      <c r="G70" s="88">
        <f>'GAAP feeder'!AW32/1000</f>
        <v>138.75800000000001</v>
      </c>
      <c r="H70" s="88">
        <f>'GAAP feeder'!AX32/1000</f>
        <v>174.04400000000001</v>
      </c>
      <c r="I70" s="87"/>
      <c r="J70" s="87"/>
      <c r="K70" s="87"/>
      <c r="L70" s="87"/>
      <c r="M70" s="87"/>
      <c r="N70" s="87"/>
      <c r="O70" s="87"/>
    </row>
    <row r="71" spans="1:15" x14ac:dyDescent="0.55000000000000004">
      <c r="A71" s="66"/>
      <c r="B71" s="67" t="str">
        <f>'GAAP feeder'!A33</f>
        <v xml:space="preserve">          Total operating expenses</v>
      </c>
      <c r="C71" s="86">
        <f>'GAAP feeder'!AS33/1000</f>
        <v>1340.3140000000001</v>
      </c>
      <c r="D71" s="86">
        <f>'GAAP feeder'!AT33/1000</f>
        <v>1863.1279999999999</v>
      </c>
      <c r="E71" s="86">
        <f>'GAAP feeder'!AU33/1000</f>
        <v>2752.2240000000002</v>
      </c>
      <c r="F71" s="86">
        <f>'GAAP feeder'!AV33/1000</f>
        <v>4258.7110000000002</v>
      </c>
      <c r="G71" s="86">
        <f>'GAAP feeder'!AW33/1000</f>
        <v>6616.424</v>
      </c>
      <c r="H71" s="86">
        <f>'GAAP feeder'!AX33/1000</f>
        <v>7783.7250000000004</v>
      </c>
      <c r="I71" s="86">
        <f>I72*I41</f>
        <v>7870.3024887628671</v>
      </c>
      <c r="J71" s="86">
        <f t="shared" ref="J71:O71" si="26">J72*J41</f>
        <v>8464.9547307679859</v>
      </c>
      <c r="K71" s="86">
        <f t="shared" si="26"/>
        <v>9140.7343822057283</v>
      </c>
      <c r="L71" s="86">
        <f t="shared" si="26"/>
        <v>9967.4158685160764</v>
      </c>
      <c r="M71" s="86">
        <f t="shared" si="26"/>
        <v>10758.540433113138</v>
      </c>
      <c r="N71" s="86">
        <f t="shared" si="26"/>
        <v>11438.324126154521</v>
      </c>
      <c r="O71" s="86">
        <f t="shared" si="26"/>
        <v>12121.528175047079</v>
      </c>
    </row>
    <row r="72" spans="1:15" x14ac:dyDescent="0.55000000000000004">
      <c r="A72" s="66"/>
      <c r="B72" s="66" t="s">
        <v>245</v>
      </c>
      <c r="C72" s="134">
        <f t="shared" ref="C72:H72" si="27">C71/C41</f>
        <v>0.40638025187853777</v>
      </c>
      <c r="D72" s="134">
        <f t="shared" si="27"/>
        <v>0.39527484883844277</v>
      </c>
      <c r="E72" s="134">
        <f t="shared" si="27"/>
        <v>0.2897816685474971</v>
      </c>
      <c r="F72" s="134">
        <f t="shared" si="27"/>
        <v>0.24113368721258682</v>
      </c>
      <c r="G72" s="134">
        <f t="shared" si="27"/>
        <v>0.37740017489574673</v>
      </c>
      <c r="H72" s="134">
        <f t="shared" si="27"/>
        <v>0.35516786358297914</v>
      </c>
      <c r="I72" s="139">
        <v>0.318</v>
      </c>
      <c r="J72" s="139">
        <f>I72-0.65%</f>
        <v>0.3115</v>
      </c>
      <c r="K72" s="139">
        <f>J72-0.5%</f>
        <v>0.30649999999999999</v>
      </c>
      <c r="L72" s="139">
        <f>K72</f>
        <v>0.30649999999999999</v>
      </c>
      <c r="M72" s="139">
        <f>L72</f>
        <v>0.30649999999999999</v>
      </c>
      <c r="N72" s="139">
        <f>M72</f>
        <v>0.30649999999999999</v>
      </c>
      <c r="O72" s="139">
        <f>N72</f>
        <v>0.30649999999999999</v>
      </c>
    </row>
    <row r="73" spans="1:15" x14ac:dyDescent="0.55000000000000004">
      <c r="A73" s="66"/>
      <c r="B73" s="67"/>
      <c r="C73" s="86"/>
      <c r="D73" s="86"/>
      <c r="E73" s="86"/>
      <c r="F73" s="86"/>
      <c r="G73" s="86"/>
      <c r="H73" s="86"/>
      <c r="I73" s="66"/>
      <c r="J73" s="66"/>
      <c r="K73" s="66"/>
      <c r="L73" s="66"/>
      <c r="M73" s="66"/>
      <c r="N73" s="66"/>
      <c r="O73" s="66"/>
    </row>
    <row r="74" spans="1:15" x14ac:dyDescent="0.55000000000000004">
      <c r="A74" s="66"/>
      <c r="B74" s="67" t="str">
        <f>'GAAP feeder'!A34</f>
        <v xml:space="preserve">          Operating income (loss)</v>
      </c>
      <c r="C74" s="86">
        <f>'GAAP feeder'!AS34/1000</f>
        <v>-36.613999999999997</v>
      </c>
      <c r="D74" s="86">
        <f>'GAAP feeder'!AT34/1000</f>
        <v>26.556999999999999</v>
      </c>
      <c r="E74" s="86">
        <f>'GAAP feeder'!AU34/1000</f>
        <v>-18.815000000000001</v>
      </c>
      <c r="F74" s="86">
        <f>'GAAP feeder'!AV34/1000</f>
        <v>161.11199999999999</v>
      </c>
      <c r="G74" s="86">
        <f>'GAAP feeder'!AW34/1000</f>
        <v>-624.53200000000004</v>
      </c>
      <c r="H74" s="86">
        <f>'GAAP feeder'!AX34/1000</f>
        <v>-278.839</v>
      </c>
      <c r="I74" s="86">
        <f t="shared" ref="I74:O74" si="28">I54-I71</f>
        <v>1027.1064498126616</v>
      </c>
      <c r="J74" s="86">
        <f t="shared" si="28"/>
        <v>1700.5444157822949</v>
      </c>
      <c r="K74" s="86">
        <f t="shared" si="28"/>
        <v>2364.6981961093661</v>
      </c>
      <c r="L74" s="86">
        <f t="shared" si="28"/>
        <v>2876.1647721016689</v>
      </c>
      <c r="M74" s="86">
        <f t="shared" si="28"/>
        <v>3380.3151718029676</v>
      </c>
      <c r="N74" s="86">
        <f t="shared" si="28"/>
        <v>3763.457344728562</v>
      </c>
      <c r="O74" s="86">
        <f t="shared" si="28"/>
        <v>4112.6559083824941</v>
      </c>
    </row>
    <row r="75" spans="1:15" x14ac:dyDescent="0.55000000000000004">
      <c r="A75" s="66"/>
      <c r="B75" s="66" t="s">
        <v>617</v>
      </c>
      <c r="C75" s="134">
        <f t="shared" ref="C75:O75" si="29">C74/C54</f>
        <v>-2.8084682058755847E-2</v>
      </c>
      <c r="D75" s="134">
        <f t="shared" si="29"/>
        <v>1.4053665028827555E-2</v>
      </c>
      <c r="E75" s="134">
        <f t="shared" si="29"/>
        <v>-6.8833460342012489E-3</v>
      </c>
      <c r="F75" s="134">
        <f t="shared" si="29"/>
        <v>3.6452138467988421E-2</v>
      </c>
      <c r="G75" s="134">
        <f t="shared" si="29"/>
        <v>-0.10422951548525909</v>
      </c>
      <c r="H75" s="134">
        <f t="shared" si="29"/>
        <v>-3.7154328526775755E-2</v>
      </c>
      <c r="I75" s="134">
        <f t="shared" si="29"/>
        <v>0.11543882684312147</v>
      </c>
      <c r="J75" s="134">
        <f t="shared" si="29"/>
        <v>0.16728587463010944</v>
      </c>
      <c r="K75" s="134">
        <f t="shared" si="29"/>
        <v>0.20552883866063754</v>
      </c>
      <c r="L75" s="134">
        <f t="shared" si="29"/>
        <v>0.22393792296564211</v>
      </c>
      <c r="M75" s="134">
        <f t="shared" si="29"/>
        <v>0.23907982840051256</v>
      </c>
      <c r="N75" s="134">
        <f t="shared" si="29"/>
        <v>0.2475668626033696</v>
      </c>
      <c r="O75" s="134">
        <f t="shared" si="29"/>
        <v>0.25333308327951826</v>
      </c>
    </row>
    <row r="76" spans="1:15" x14ac:dyDescent="0.55000000000000004">
      <c r="A76" s="66"/>
      <c r="B76" s="67"/>
      <c r="C76" s="86"/>
      <c r="D76" s="86"/>
      <c r="E76" s="86"/>
      <c r="F76" s="86"/>
      <c r="G76" s="86"/>
      <c r="H76" s="86"/>
      <c r="I76" s="86"/>
      <c r="J76" s="86"/>
      <c r="K76" s="86"/>
      <c r="L76" s="86"/>
      <c r="M76" s="86"/>
      <c r="N76" s="86"/>
      <c r="O76" s="86"/>
    </row>
    <row r="77" spans="1:15" x14ac:dyDescent="0.55000000000000004">
      <c r="A77" s="66"/>
      <c r="B77" s="67" t="s">
        <v>684</v>
      </c>
      <c r="C77" s="86"/>
      <c r="D77" s="86"/>
      <c r="E77" s="86"/>
      <c r="F77" s="86"/>
      <c r="G77" s="86"/>
      <c r="H77" s="86"/>
      <c r="I77" s="86"/>
      <c r="J77" s="86"/>
      <c r="K77" s="86"/>
      <c r="L77" s="86"/>
      <c r="M77" s="86"/>
      <c r="N77" s="86"/>
      <c r="O77" s="86"/>
    </row>
    <row r="78" spans="1:15" x14ac:dyDescent="0.55000000000000004">
      <c r="A78" s="66"/>
      <c r="B78" s="66" t="str">
        <f>'Non GAAP feeder'!A128</f>
        <v xml:space="preserve">     Amortization of acquired technology assets(3)</v>
      </c>
      <c r="C78" s="86"/>
      <c r="D78" s="86"/>
      <c r="E78" s="86"/>
      <c r="F78" s="86"/>
      <c r="G78" s="69">
        <f>'Non GAAP feeder'!AW128/1000</f>
        <v>70.194000000000003</v>
      </c>
      <c r="H78" s="69">
        <f>'Non GAAP feeder'!AX128/1000</f>
        <v>72.828999999999994</v>
      </c>
      <c r="I78" s="191">
        <v>72</v>
      </c>
      <c r="J78" s="191">
        <v>72</v>
      </c>
      <c r="K78" s="191">
        <v>72</v>
      </c>
      <c r="L78" s="191">
        <v>72</v>
      </c>
      <c r="M78" s="191">
        <v>72</v>
      </c>
      <c r="N78" s="191">
        <v>72</v>
      </c>
      <c r="O78" s="191">
        <v>72</v>
      </c>
    </row>
    <row r="79" spans="1:15" x14ac:dyDescent="0.55000000000000004">
      <c r="A79" s="66"/>
      <c r="B79" s="66" t="str">
        <f>'Non GAAP feeder'!A129</f>
        <v xml:space="preserve">     Acquisition-related and integration costs</v>
      </c>
      <c r="C79" s="86"/>
      <c r="D79" s="86"/>
      <c r="E79" s="86"/>
      <c r="F79" s="86"/>
      <c r="G79" s="69">
        <f>'Non GAAP feeder'!AW129/1000</f>
        <v>157.26400000000001</v>
      </c>
      <c r="H79" s="69">
        <f>'Non GAAP feeder'!AX129/1000</f>
        <v>133.83000000000001</v>
      </c>
      <c r="I79" s="191">
        <v>100</v>
      </c>
      <c r="J79" s="191">
        <v>120</v>
      </c>
      <c r="K79" s="191">
        <v>120</v>
      </c>
      <c r="L79" s="191">
        <v>120</v>
      </c>
      <c r="M79" s="191">
        <v>120</v>
      </c>
      <c r="N79" s="191">
        <v>120</v>
      </c>
      <c r="O79" s="191">
        <v>120</v>
      </c>
    </row>
    <row r="80" spans="1:15" x14ac:dyDescent="0.55000000000000004">
      <c r="A80" s="66"/>
      <c r="B80" s="66" t="str">
        <f>'Non GAAP feeder'!A130</f>
        <v xml:space="preserve">     Restructuring and other charges</v>
      </c>
      <c r="C80" s="86"/>
      <c r="D80" s="86"/>
      <c r="E80" s="86"/>
      <c r="F80" s="86"/>
      <c r="G80" s="69">
        <f>'Non GAAP feeder'!AW130/1000</f>
        <v>0</v>
      </c>
      <c r="H80" s="69">
        <f>'Non GAAP feeder'!AX130/1000</f>
        <v>117.17400000000001</v>
      </c>
      <c r="I80" s="191">
        <v>45</v>
      </c>
      <c r="J80" s="191">
        <v>0</v>
      </c>
      <c r="K80" s="191">
        <v>0</v>
      </c>
      <c r="L80" s="191">
        <v>0</v>
      </c>
      <c r="M80" s="191">
        <v>0</v>
      </c>
      <c r="N80" s="191">
        <v>0</v>
      </c>
      <c r="O80" s="191">
        <v>0</v>
      </c>
    </row>
    <row r="81" spans="1:17" x14ac:dyDescent="0.55000000000000004">
      <c r="A81" s="66"/>
      <c r="B81" s="66" t="str">
        <f>'Non GAAP feeder'!A131</f>
        <v xml:space="preserve">     Restructuring share-based compensation</v>
      </c>
      <c r="C81" s="86"/>
      <c r="D81" s="86"/>
      <c r="E81" s="86"/>
      <c r="F81" s="86"/>
      <c r="G81" s="69">
        <f>'Non GAAP feeder'!AW131/1000</f>
        <v>0</v>
      </c>
      <c r="H81" s="69">
        <f>'Non GAAP feeder'!AX131/1000</f>
        <v>0</v>
      </c>
      <c r="I81" s="191">
        <v>12</v>
      </c>
      <c r="J81" s="191">
        <v>0</v>
      </c>
      <c r="K81" s="191">
        <v>0</v>
      </c>
      <c r="L81" s="191">
        <v>0</v>
      </c>
      <c r="M81" s="191">
        <v>0</v>
      </c>
      <c r="N81" s="191">
        <v>0</v>
      </c>
      <c r="O81" s="191">
        <v>0</v>
      </c>
    </row>
    <row r="82" spans="1:17" x14ac:dyDescent="0.55000000000000004">
      <c r="A82" s="66"/>
      <c r="B82" s="66" t="str">
        <f>'Non GAAP feeder'!A132</f>
        <v xml:space="preserve">     Goodwill impairment</v>
      </c>
      <c r="C82" s="86"/>
      <c r="D82" s="86"/>
      <c r="E82" s="86"/>
      <c r="F82" s="86"/>
      <c r="G82" s="69">
        <f>'Non GAAP feeder'!AW132/1000</f>
        <v>0</v>
      </c>
      <c r="H82" s="69">
        <f>'Non GAAP feeder'!AX132/1000</f>
        <v>132.31299999999999</v>
      </c>
      <c r="I82" s="191">
        <v>0</v>
      </c>
      <c r="J82" s="191">
        <v>0</v>
      </c>
      <c r="K82" s="191">
        <v>0</v>
      </c>
      <c r="L82" s="191">
        <v>0</v>
      </c>
      <c r="M82" s="191">
        <v>0</v>
      </c>
      <c r="N82" s="191">
        <v>0</v>
      </c>
      <c r="O82" s="191">
        <v>0</v>
      </c>
    </row>
    <row r="83" spans="1:17" x14ac:dyDescent="0.55000000000000004">
      <c r="A83" s="66"/>
      <c r="B83" s="66" t="str">
        <f>'Non GAAP feeder'!A133</f>
        <v xml:space="preserve">     Bitcoin impairment losses</v>
      </c>
      <c r="C83" s="86"/>
      <c r="D83" s="86"/>
      <c r="E83" s="86"/>
      <c r="F83" s="86"/>
      <c r="G83" s="69">
        <f>'Non GAAP feeder'!AW133/1000</f>
        <v>46.570999999999998</v>
      </c>
      <c r="H83" s="69">
        <f>'Non GAAP feeder'!AX133/1000</f>
        <v>0</v>
      </c>
      <c r="I83" s="191">
        <v>0</v>
      </c>
      <c r="J83" s="191">
        <v>0</v>
      </c>
      <c r="K83" s="191">
        <v>0</v>
      </c>
      <c r="L83" s="191">
        <v>0</v>
      </c>
      <c r="M83" s="191">
        <v>0</v>
      </c>
      <c r="N83" s="191">
        <v>0</v>
      </c>
      <c r="O83" s="191">
        <v>0</v>
      </c>
    </row>
    <row r="84" spans="1:17" x14ac:dyDescent="0.55000000000000004">
      <c r="A84" s="66"/>
      <c r="B84" s="66" t="str">
        <f>'Non GAAP feeder'!A134</f>
        <v xml:space="preserve">     Amortization of customer and other acquired intangible assets(4)</v>
      </c>
      <c r="C84" s="86"/>
      <c r="D84" s="86"/>
      <c r="E84" s="86"/>
      <c r="F84" s="86"/>
      <c r="G84" s="69">
        <f>'Non GAAP feeder'!AW134/1000</f>
        <v>138.75800000000001</v>
      </c>
      <c r="H84" s="69">
        <f>'Non GAAP feeder'!AX134/1000</f>
        <v>174.04400000000001</v>
      </c>
      <c r="I84" s="191">
        <v>190</v>
      </c>
      <c r="J84" s="191">
        <v>175</v>
      </c>
      <c r="K84" s="191">
        <v>175</v>
      </c>
      <c r="L84" s="191">
        <v>175</v>
      </c>
      <c r="M84" s="191">
        <v>175</v>
      </c>
      <c r="N84" s="191">
        <v>175</v>
      </c>
      <c r="O84" s="191">
        <v>175</v>
      </c>
    </row>
    <row r="85" spans="1:17" x14ac:dyDescent="0.55000000000000004">
      <c r="A85" s="66"/>
      <c r="B85" s="87" t="str">
        <f>'Non GAAP feeder'!A135</f>
        <v xml:space="preserve">     Acquisition-related share-based acceleration costs</v>
      </c>
      <c r="C85" s="217"/>
      <c r="D85" s="217"/>
      <c r="E85" s="217"/>
      <c r="F85" s="217"/>
      <c r="G85" s="88">
        <f>'Non GAAP feeder'!AW135/1000</f>
        <v>66.337000000000003</v>
      </c>
      <c r="H85" s="88">
        <f>'Non GAAP feeder'!AX135/1000</f>
        <v>0</v>
      </c>
      <c r="I85" s="232">
        <v>0</v>
      </c>
      <c r="J85" s="232">
        <v>0</v>
      </c>
      <c r="K85" s="232">
        <v>0</v>
      </c>
      <c r="L85" s="232">
        <v>0</v>
      </c>
      <c r="M85" s="232">
        <v>0</v>
      </c>
      <c r="N85" s="232">
        <v>0</v>
      </c>
      <c r="O85" s="232">
        <v>0</v>
      </c>
    </row>
    <row r="86" spans="1:17" x14ac:dyDescent="0.55000000000000004">
      <c r="A86" s="66"/>
      <c r="B86" s="67" t="s">
        <v>616</v>
      </c>
      <c r="C86" s="86"/>
      <c r="D86" s="86"/>
      <c r="E86" s="86"/>
      <c r="F86" s="86"/>
      <c r="G86" s="69">
        <f>G87-G74</f>
        <v>479.12400000000002</v>
      </c>
      <c r="H86" s="69">
        <f>H87-H74</f>
        <v>630.19000000000005</v>
      </c>
      <c r="I86" s="69">
        <f>SUM(I78:I85)</f>
        <v>419</v>
      </c>
      <c r="J86" s="69">
        <f t="shared" ref="J86:O86" si="30">SUM(J78:J85)</f>
        <v>367</v>
      </c>
      <c r="K86" s="69">
        <f t="shared" si="30"/>
        <v>367</v>
      </c>
      <c r="L86" s="69">
        <f t="shared" si="30"/>
        <v>367</v>
      </c>
      <c r="M86" s="69">
        <f t="shared" si="30"/>
        <v>367</v>
      </c>
      <c r="N86" s="69">
        <f t="shared" si="30"/>
        <v>367</v>
      </c>
      <c r="O86" s="69">
        <f t="shared" si="30"/>
        <v>367</v>
      </c>
    </row>
    <row r="87" spans="1:17" x14ac:dyDescent="0.55000000000000004">
      <c r="A87" s="66"/>
      <c r="B87" s="67" t="s">
        <v>615</v>
      </c>
      <c r="C87" s="86"/>
      <c r="D87" s="86"/>
      <c r="E87" s="86"/>
      <c r="F87" s="86"/>
      <c r="G87" s="86">
        <f>'Non GAAP feeder'!AW136/1000</f>
        <v>-145.40799999999999</v>
      </c>
      <c r="H87" s="86">
        <f>'Non GAAP feeder'!AX136/1000</f>
        <v>351.351</v>
      </c>
      <c r="I87" s="86">
        <f>I74+I86</f>
        <v>1446.1064498126616</v>
      </c>
      <c r="J87" s="86">
        <f t="shared" ref="J87:O87" si="31">J74+J86</f>
        <v>2067.5444157822949</v>
      </c>
      <c r="K87" s="86">
        <f t="shared" si="31"/>
        <v>2731.6981961093661</v>
      </c>
      <c r="L87" s="86">
        <f t="shared" si="31"/>
        <v>3243.1647721016689</v>
      </c>
      <c r="M87" s="86">
        <f t="shared" si="31"/>
        <v>3747.3151718029676</v>
      </c>
      <c r="N87" s="86">
        <f t="shared" si="31"/>
        <v>4130.457344728562</v>
      </c>
      <c r="O87" s="86">
        <f t="shared" si="31"/>
        <v>4479.6559083824941</v>
      </c>
    </row>
    <row r="88" spans="1:17" x14ac:dyDescent="0.55000000000000004">
      <c r="A88" s="66"/>
      <c r="B88" s="67" t="s">
        <v>617</v>
      </c>
      <c r="C88" s="86"/>
      <c r="D88" s="86"/>
      <c r="E88" s="86"/>
      <c r="F88" s="86"/>
      <c r="G88" s="86"/>
      <c r="H88" s="134">
        <f t="shared" ref="H88:O88" si="32">H87/H54</f>
        <v>4.6816300740610849E-2</v>
      </c>
      <c r="I88" s="134">
        <f t="shared" si="32"/>
        <v>0.16253118855118989</v>
      </c>
      <c r="J88" s="134">
        <f t="shared" si="32"/>
        <v>0.20338838122709671</v>
      </c>
      <c r="K88" s="134">
        <f t="shared" si="32"/>
        <v>0.23742681359568732</v>
      </c>
      <c r="L88" s="134">
        <f t="shared" si="32"/>
        <v>0.25251250899964611</v>
      </c>
      <c r="M88" s="134">
        <f t="shared" si="32"/>
        <v>0.2650366675008704</v>
      </c>
      <c r="N88" s="134">
        <f t="shared" si="32"/>
        <v>0.27170876996488103</v>
      </c>
      <c r="O88" s="134">
        <f t="shared" si="32"/>
        <v>0.27593970139558371</v>
      </c>
      <c r="Q88" t="s">
        <v>669</v>
      </c>
    </row>
    <row r="89" spans="1:17" x14ac:dyDescent="0.55000000000000004">
      <c r="A89" s="66"/>
      <c r="B89" s="67"/>
      <c r="C89" s="86"/>
      <c r="D89" s="86"/>
      <c r="E89" s="86"/>
      <c r="F89" s="86"/>
      <c r="G89" s="86"/>
      <c r="H89" s="86"/>
      <c r="I89" s="86"/>
      <c r="J89" s="86"/>
      <c r="K89" s="86"/>
      <c r="L89" s="86"/>
      <c r="M89" s="86"/>
      <c r="N89" s="86"/>
      <c r="O89" s="86"/>
    </row>
    <row r="90" spans="1:17" x14ac:dyDescent="0.55000000000000004">
      <c r="A90" s="66"/>
      <c r="B90" s="67" t="s">
        <v>879</v>
      </c>
      <c r="C90" s="86"/>
      <c r="D90" s="86"/>
      <c r="E90" s="86"/>
      <c r="F90" s="86"/>
      <c r="G90" s="69">
        <f t="shared" ref="G90:O90" si="33">G54-G87</f>
        <v>6137.3</v>
      </c>
      <c r="H90" s="69">
        <f t="shared" si="33"/>
        <v>7153.5350000000008</v>
      </c>
      <c r="I90" s="69">
        <f t="shared" si="33"/>
        <v>7451.3024887628671</v>
      </c>
      <c r="J90" s="69">
        <f t="shared" si="33"/>
        <v>8097.9547307679859</v>
      </c>
      <c r="K90" s="69">
        <f t="shared" si="33"/>
        <v>8773.7343822057283</v>
      </c>
      <c r="L90" s="69">
        <f t="shared" si="33"/>
        <v>9600.4158685160764</v>
      </c>
      <c r="M90" s="69">
        <f t="shared" si="33"/>
        <v>10391.540433113138</v>
      </c>
      <c r="N90" s="69">
        <f t="shared" si="33"/>
        <v>11071.324126154521</v>
      </c>
      <c r="O90" s="69">
        <f t="shared" si="33"/>
        <v>11754.528175047079</v>
      </c>
    </row>
    <row r="91" spans="1:17" x14ac:dyDescent="0.55000000000000004">
      <c r="A91" s="66"/>
      <c r="B91" s="67"/>
      <c r="C91" s="86"/>
      <c r="D91" s="86"/>
      <c r="E91" s="86"/>
      <c r="F91" s="86"/>
      <c r="G91" s="86"/>
      <c r="H91" s="86"/>
      <c r="I91" s="86"/>
      <c r="J91" s="86"/>
      <c r="K91" s="86"/>
      <c r="L91" s="86"/>
      <c r="M91" s="86"/>
      <c r="N91" s="86"/>
      <c r="O91" s="86"/>
    </row>
    <row r="92" spans="1:17" x14ac:dyDescent="0.55000000000000004">
      <c r="A92" s="66"/>
      <c r="B92" s="67" t="s">
        <v>668</v>
      </c>
      <c r="C92" s="86"/>
      <c r="D92" s="86"/>
      <c r="E92" s="86"/>
      <c r="F92" s="86"/>
      <c r="G92" s="86"/>
      <c r="H92" s="180">
        <f t="shared" ref="H92:O92" si="34">H56+H88</f>
        <v>0.2993231883814429</v>
      </c>
      <c r="I92" s="180">
        <f t="shared" si="34"/>
        <v>0.34808003480621996</v>
      </c>
      <c r="J92" s="180">
        <f t="shared" si="34"/>
        <v>0.34591192001565685</v>
      </c>
      <c r="K92" s="180">
        <f t="shared" si="34"/>
        <v>0.36923868160607698</v>
      </c>
      <c r="L92" s="180">
        <f t="shared" si="34"/>
        <v>0.36881826744846197</v>
      </c>
      <c r="M92" s="180">
        <f t="shared" si="34"/>
        <v>0.3658866563429275</v>
      </c>
      <c r="N92" s="180">
        <f t="shared" si="34"/>
        <v>0.34688641486546246</v>
      </c>
      <c r="O92" s="180">
        <f t="shared" si="34"/>
        <v>0.34385296633258572</v>
      </c>
    </row>
    <row r="93" spans="1:17" x14ac:dyDescent="0.55000000000000004">
      <c r="A93" s="66"/>
      <c r="B93" s="67"/>
      <c r="C93" s="86"/>
      <c r="D93" s="86"/>
      <c r="E93" s="86"/>
      <c r="F93" s="86"/>
      <c r="G93" s="86"/>
      <c r="H93" s="86"/>
      <c r="I93" s="86"/>
      <c r="J93" s="86"/>
      <c r="K93" s="86"/>
      <c r="L93" s="86"/>
      <c r="M93" s="86"/>
      <c r="N93" s="86"/>
      <c r="O93" s="86"/>
    </row>
    <row r="94" spans="1:17" x14ac:dyDescent="0.55000000000000004">
      <c r="A94" s="66"/>
      <c r="B94" s="67" t="s">
        <v>80</v>
      </c>
      <c r="C94" s="86">
        <f>'Non GAAP feeder'!AS81/1000</f>
        <v>256.52300000000002</v>
      </c>
      <c r="D94" s="86">
        <f>'Non GAAP feeder'!AT81/1000</f>
        <v>416.85300000000001</v>
      </c>
      <c r="E94" s="86">
        <f>'Non GAAP feeder'!AU81/1000</f>
        <v>474.07100000000003</v>
      </c>
      <c r="F94" s="86">
        <f>'Non GAAP feeder'!AV81/1000</f>
        <v>1013.655</v>
      </c>
      <c r="G94" s="86">
        <f>'Non GAAP feeder'!AW81/1000</f>
        <v>990.96400000000006</v>
      </c>
      <c r="H94" s="86">
        <f>'Non GAAP feeder'!AX81/1000</f>
        <v>1792.42</v>
      </c>
      <c r="I94" s="86">
        <f>I101-I100-I99-I98-I95</f>
        <v>2907.8572467414378</v>
      </c>
      <c r="J94" s="86">
        <f t="shared" ref="J94:O94" si="35">J101-J100-J99-J98-J95</f>
        <v>3611.6413156098088</v>
      </c>
      <c r="K94" s="86">
        <f t="shared" si="35"/>
        <v>4361.8828790251209</v>
      </c>
      <c r="L94" s="86">
        <f t="shared" si="35"/>
        <v>4959.4850255669307</v>
      </c>
      <c r="M94" s="86">
        <f t="shared" si="35"/>
        <v>5547.7508121576011</v>
      </c>
      <c r="N94" s="86">
        <f t="shared" si="35"/>
        <v>6003.499613429789</v>
      </c>
      <c r="O94" s="86">
        <f t="shared" si="35"/>
        <v>6423.871301812771</v>
      </c>
    </row>
    <row r="95" spans="1:17" x14ac:dyDescent="0.55000000000000004">
      <c r="A95" s="66"/>
      <c r="B95" s="66" t="s">
        <v>320</v>
      </c>
      <c r="C95" s="86"/>
      <c r="D95" s="86"/>
      <c r="E95" s="86"/>
      <c r="F95" s="86"/>
      <c r="G95" s="69">
        <f>-'Non GAAP feeder'!AW85/1000</f>
        <v>-340.52300000000002</v>
      </c>
      <c r="H95" s="69">
        <f>-'Non GAAP feeder'!AX85/1000</f>
        <v>-408.56</v>
      </c>
      <c r="I95" s="69">
        <f t="shared" ref="I95:O95" si="36">I96*I54</f>
        <v>-444.87044692877646</v>
      </c>
      <c r="J95" s="69">
        <f t="shared" si="36"/>
        <v>-508.27495732751407</v>
      </c>
      <c r="K95" s="69">
        <f t="shared" si="36"/>
        <v>-575.27162891575472</v>
      </c>
      <c r="L95" s="69">
        <f t="shared" si="36"/>
        <v>-642.17903203088736</v>
      </c>
      <c r="M95" s="69">
        <f t="shared" si="36"/>
        <v>-706.94278024580535</v>
      </c>
      <c r="N95" s="69">
        <f t="shared" si="36"/>
        <v>-760.08907354415419</v>
      </c>
      <c r="O95" s="69">
        <f t="shared" si="36"/>
        <v>-811.70920417147863</v>
      </c>
    </row>
    <row r="96" spans="1:17" x14ac:dyDescent="0.55000000000000004">
      <c r="A96" s="66"/>
      <c r="B96" s="66" t="s">
        <v>709</v>
      </c>
      <c r="C96" s="86"/>
      <c r="D96" s="86"/>
      <c r="E96" s="86"/>
      <c r="F96" s="86"/>
      <c r="G96" s="171">
        <f>G95/G54</f>
        <v>-5.6830630458626429E-2</v>
      </c>
      <c r="H96" s="171">
        <f>H95/H54</f>
        <v>-5.4439201341632638E-2</v>
      </c>
      <c r="I96" s="138">
        <v>-0.05</v>
      </c>
      <c r="J96" s="138">
        <v>-0.05</v>
      </c>
      <c r="K96" s="138">
        <v>-0.05</v>
      </c>
      <c r="L96" s="138">
        <v>-0.05</v>
      </c>
      <c r="M96" s="138">
        <v>-0.05</v>
      </c>
      <c r="N96" s="138">
        <v>-0.05</v>
      </c>
      <c r="O96" s="138">
        <v>-0.05</v>
      </c>
    </row>
    <row r="97" spans="1:15" x14ac:dyDescent="0.55000000000000004">
      <c r="A97" s="66"/>
      <c r="B97" s="66"/>
      <c r="C97" s="86"/>
      <c r="D97" s="86"/>
      <c r="E97" s="86"/>
      <c r="F97" s="86"/>
      <c r="G97" s="69"/>
      <c r="H97" s="69"/>
      <c r="I97" s="66"/>
      <c r="J97" s="66"/>
      <c r="K97" s="66"/>
      <c r="L97" s="66"/>
      <c r="M97" s="66"/>
      <c r="N97" s="66"/>
      <c r="O97" s="66"/>
    </row>
    <row r="98" spans="1:15" x14ac:dyDescent="0.55000000000000004">
      <c r="A98" s="66"/>
      <c r="B98" s="66" t="s">
        <v>1210</v>
      </c>
      <c r="C98" s="86"/>
      <c r="D98" s="86"/>
      <c r="E98" s="86"/>
      <c r="F98" s="86"/>
      <c r="G98" s="69">
        <f t="shared" ref="G98:O98" si="37">G123</f>
        <v>208.952</v>
      </c>
      <c r="H98" s="69">
        <f t="shared" si="37"/>
        <v>246.87299999999999</v>
      </c>
      <c r="I98" s="69">
        <f t="shared" si="37"/>
        <v>259.21665000000002</v>
      </c>
      <c r="J98" s="69">
        <f t="shared" si="37"/>
        <v>272.17748250000005</v>
      </c>
      <c r="K98" s="69">
        <f t="shared" si="37"/>
        <v>285.78635662500005</v>
      </c>
      <c r="L98" s="69">
        <f t="shared" si="37"/>
        <v>300.07567445625006</v>
      </c>
      <c r="M98" s="69">
        <f t="shared" si="37"/>
        <v>315.07945817906256</v>
      </c>
      <c r="N98" s="69">
        <f t="shared" si="37"/>
        <v>330.83343108801569</v>
      </c>
      <c r="O98" s="69">
        <f t="shared" si="37"/>
        <v>347.37510264241649</v>
      </c>
    </row>
    <row r="99" spans="1:15" x14ac:dyDescent="0.55000000000000004">
      <c r="A99" s="66"/>
      <c r="B99" s="66" t="s">
        <v>1209</v>
      </c>
      <c r="C99" s="86"/>
      <c r="D99" s="86"/>
      <c r="E99" s="86"/>
      <c r="F99" s="86"/>
      <c r="G99" s="69">
        <f t="shared" ref="G99:O99" si="38">-G121</f>
        <v>-1069.289</v>
      </c>
      <c r="H99" s="69">
        <f t="shared" si="38"/>
        <v>-1276.097</v>
      </c>
      <c r="I99" s="69">
        <f t="shared" si="38"/>
        <v>-1276.097</v>
      </c>
      <c r="J99" s="69">
        <f t="shared" si="38"/>
        <v>-1307.999425</v>
      </c>
      <c r="K99" s="69">
        <f t="shared" si="38"/>
        <v>-1340.6994106249999</v>
      </c>
      <c r="L99" s="69">
        <f t="shared" si="38"/>
        <v>-1374.2168958906248</v>
      </c>
      <c r="M99" s="69">
        <f t="shared" si="38"/>
        <v>-1408.5723182878903</v>
      </c>
      <c r="N99" s="69">
        <f t="shared" si="38"/>
        <v>-1443.7866262450875</v>
      </c>
      <c r="O99" s="69">
        <f t="shared" si="38"/>
        <v>-1479.8812919012146</v>
      </c>
    </row>
    <row r="100" spans="1:15" x14ac:dyDescent="0.55000000000000004">
      <c r="A100" s="66"/>
      <c r="B100" s="87" t="s">
        <v>321</v>
      </c>
      <c r="C100" s="217"/>
      <c r="D100" s="217"/>
      <c r="E100" s="217"/>
      <c r="F100" s="217"/>
      <c r="G100" s="88">
        <f>-((G94-G101)+G99+G98+G95)</f>
        <v>64.487999999999943</v>
      </c>
      <c r="H100" s="88">
        <f>-((H94-H101)+H99+H98+H95)</f>
        <v>-3.2849999999999682</v>
      </c>
      <c r="I100" s="218">
        <v>0</v>
      </c>
      <c r="J100" s="218">
        <v>0</v>
      </c>
      <c r="K100" s="218">
        <v>0</v>
      </c>
      <c r="L100" s="218">
        <v>0</v>
      </c>
      <c r="M100" s="218">
        <v>0</v>
      </c>
      <c r="N100" s="218">
        <v>0</v>
      </c>
      <c r="O100" s="218">
        <v>0</v>
      </c>
    </row>
    <row r="101" spans="1:15" x14ac:dyDescent="0.55000000000000004">
      <c r="A101" s="66"/>
      <c r="B101" s="66" t="s">
        <v>615</v>
      </c>
      <c r="C101" s="69">
        <f t="shared" ref="C101:O101" si="39">C87</f>
        <v>0</v>
      </c>
      <c r="D101" s="69">
        <f t="shared" si="39"/>
        <v>0</v>
      </c>
      <c r="E101" s="69">
        <f t="shared" si="39"/>
        <v>0</v>
      </c>
      <c r="F101" s="69">
        <f t="shared" si="39"/>
        <v>0</v>
      </c>
      <c r="G101" s="69">
        <f t="shared" si="39"/>
        <v>-145.40799999999999</v>
      </c>
      <c r="H101" s="69">
        <f t="shared" si="39"/>
        <v>351.351</v>
      </c>
      <c r="I101" s="69">
        <f t="shared" si="39"/>
        <v>1446.1064498126616</v>
      </c>
      <c r="J101" s="69">
        <f t="shared" si="39"/>
        <v>2067.5444157822949</v>
      </c>
      <c r="K101" s="69">
        <f t="shared" si="39"/>
        <v>2731.6981961093661</v>
      </c>
      <c r="L101" s="69">
        <f t="shared" si="39"/>
        <v>3243.1647721016689</v>
      </c>
      <c r="M101" s="69">
        <f t="shared" si="39"/>
        <v>3747.3151718029676</v>
      </c>
      <c r="N101" s="69">
        <f t="shared" si="39"/>
        <v>4130.457344728562</v>
      </c>
      <c r="O101" s="69">
        <f t="shared" si="39"/>
        <v>4479.6559083824941</v>
      </c>
    </row>
    <row r="102" spans="1:15" x14ac:dyDescent="0.55000000000000004">
      <c r="A102" s="66"/>
      <c r="B102" s="66"/>
      <c r="C102" s="69"/>
      <c r="D102" s="69"/>
      <c r="E102" s="69"/>
      <c r="F102" s="69"/>
      <c r="G102" s="69">
        <f>G94+G95+G98+G99+G100</f>
        <v>-145.40800000000002</v>
      </c>
      <c r="H102" s="69">
        <f>H94+H95+H98+H99+H100</f>
        <v>351.35100000000023</v>
      </c>
      <c r="I102" s="69">
        <f t="shared" ref="I102:O102" si="40">I94+I95+I98+I99+I100</f>
        <v>1446.1064498126614</v>
      </c>
      <c r="J102" s="69">
        <f t="shared" si="40"/>
        <v>2067.5444157822949</v>
      </c>
      <c r="K102" s="69">
        <f t="shared" si="40"/>
        <v>2731.6981961093666</v>
      </c>
      <c r="L102" s="69">
        <f t="shared" si="40"/>
        <v>3243.1647721016689</v>
      </c>
      <c r="M102" s="69">
        <f t="shared" si="40"/>
        <v>3747.3151718029685</v>
      </c>
      <c r="N102" s="69">
        <f t="shared" si="40"/>
        <v>4130.457344728562</v>
      </c>
      <c r="O102" s="69">
        <f t="shared" si="40"/>
        <v>4479.6559083824941</v>
      </c>
    </row>
    <row r="103" spans="1:15" x14ac:dyDescent="0.55000000000000004">
      <c r="A103" s="66"/>
      <c r="B103" s="66"/>
      <c r="C103" s="69"/>
      <c r="D103" s="69"/>
      <c r="E103" s="69"/>
      <c r="F103" s="69"/>
      <c r="G103" s="69"/>
      <c r="H103" s="69"/>
      <c r="I103" s="69"/>
      <c r="J103" s="69"/>
      <c r="K103" s="69"/>
      <c r="L103" s="69"/>
      <c r="M103" s="69"/>
      <c r="N103" s="69"/>
      <c r="O103" s="69"/>
    </row>
    <row r="104" spans="1:15" x14ac:dyDescent="0.55000000000000004">
      <c r="A104" s="66"/>
      <c r="B104" s="66" t="str">
        <f>'GAAP feeder'!A35</f>
        <v>Gain on sale of asset group</v>
      </c>
      <c r="C104" s="69">
        <f>'GAAP feeder'!AS35/1000</f>
        <v>0</v>
      </c>
      <c r="D104" s="69">
        <f>'GAAP feeder'!AT35/1000</f>
        <v>0</v>
      </c>
      <c r="E104" s="69">
        <f>'GAAP feeder'!AU35/1000</f>
        <v>0</v>
      </c>
      <c r="F104" s="69">
        <f>'GAAP feeder'!AV35/1000</f>
        <v>0</v>
      </c>
      <c r="G104" s="69">
        <f>'GAAP feeder'!AW35/1000</f>
        <v>0</v>
      </c>
      <c r="H104" s="69">
        <f>'GAAP feeder'!AX35/1000</f>
        <v>0</v>
      </c>
      <c r="I104" s="177">
        <v>0</v>
      </c>
      <c r="J104" s="177">
        <v>0</v>
      </c>
      <c r="K104" s="177">
        <v>0</v>
      </c>
      <c r="L104" s="177">
        <v>0</v>
      </c>
      <c r="M104" s="177">
        <v>0</v>
      </c>
      <c r="N104" s="177">
        <v>0</v>
      </c>
      <c r="O104" s="177">
        <v>0</v>
      </c>
    </row>
    <row r="105" spans="1:15" x14ac:dyDescent="0.55000000000000004">
      <c r="A105" s="66"/>
      <c r="B105" s="66" t="str">
        <f>'GAAP feeder'!A36</f>
        <v>Interest (income) expense, net</v>
      </c>
      <c r="C105" s="69">
        <f>'GAAP feeder'!AS36/1000</f>
        <v>17.981999999999999</v>
      </c>
      <c r="D105" s="69">
        <f>'GAAP feeder'!AT36/1000</f>
        <v>21.515999999999998</v>
      </c>
      <c r="E105" s="69">
        <f>'GAAP feeder'!AU36/1000</f>
        <v>56.942999999999998</v>
      </c>
      <c r="F105" s="69">
        <f>'GAAP feeder'!AV36/1000</f>
        <v>33.124000000000002</v>
      </c>
      <c r="G105" s="69">
        <f>'GAAP feeder'!AW36/1000</f>
        <v>36.228000000000002</v>
      </c>
      <c r="H105" s="69">
        <f>'GAAP feeder'!AX36/1000</f>
        <v>-47.220999999999997</v>
      </c>
      <c r="I105" s="177">
        <v>-80</v>
      </c>
      <c r="J105" s="177">
        <v>-80</v>
      </c>
      <c r="K105" s="177">
        <v>-80</v>
      </c>
      <c r="L105" s="177">
        <v>-80</v>
      </c>
      <c r="M105" s="177">
        <v>-80</v>
      </c>
      <c r="N105" s="177">
        <v>-80</v>
      </c>
      <c r="O105" s="177">
        <v>-80</v>
      </c>
    </row>
    <row r="106" spans="1:15" x14ac:dyDescent="0.55000000000000004">
      <c r="A106" s="66"/>
      <c r="B106" s="66" t="str">
        <f>'GAAP feeder'!A37</f>
        <v>Other (income) expense, net</v>
      </c>
      <c r="C106" s="69">
        <f>'GAAP feeder'!AS37/1000</f>
        <v>-18.469000000000001</v>
      </c>
      <c r="D106" s="69">
        <f>'GAAP feeder'!AT37/1000</f>
        <v>0.27300000000000002</v>
      </c>
      <c r="E106" s="69">
        <f>'GAAP feeder'!AU37/1000</f>
        <v>-291.72500000000002</v>
      </c>
      <c r="F106" s="69">
        <f>'GAAP feeder'!AV37/1000</f>
        <v>-29.472999999999999</v>
      </c>
      <c r="G106" s="69">
        <f>'GAAP feeder'!AW37/1000</f>
        <v>-95.442999999999998</v>
      </c>
      <c r="H106" s="69">
        <f>'GAAP feeder'!AX37/1000</f>
        <v>-202.47499999999999</v>
      </c>
      <c r="I106" s="177">
        <v>-350</v>
      </c>
      <c r="J106" s="177">
        <v>0</v>
      </c>
      <c r="K106" s="177">
        <v>0</v>
      </c>
      <c r="L106" s="177">
        <v>0</v>
      </c>
      <c r="M106" s="177">
        <v>0</v>
      </c>
      <c r="N106" s="177">
        <v>0</v>
      </c>
      <c r="O106" s="177">
        <v>0</v>
      </c>
    </row>
    <row r="107" spans="1:15" x14ac:dyDescent="0.55000000000000004">
      <c r="A107" s="66"/>
      <c r="B107" s="67" t="str">
        <f>'GAAP feeder'!A38</f>
        <v xml:space="preserve">          Income (loss) before income tax</v>
      </c>
      <c r="C107" s="86">
        <f>'GAAP feeder'!AS38/1000</f>
        <v>-36.127000000000002</v>
      </c>
      <c r="D107" s="86">
        <f>'GAAP feeder'!AT38/1000</f>
        <v>378.21300000000002</v>
      </c>
      <c r="E107" s="86">
        <f>'GAAP feeder'!AU38/1000</f>
        <v>215.96700000000001</v>
      </c>
      <c r="F107" s="86">
        <f>'GAAP feeder'!AV38/1000</f>
        <v>157.46100000000001</v>
      </c>
      <c r="G107" s="86">
        <f>'GAAP feeder'!AW38/1000</f>
        <v>-565.31700000000001</v>
      </c>
      <c r="H107" s="86">
        <f>'GAAP feeder'!AX38/1000</f>
        <v>-29.143000000000001</v>
      </c>
      <c r="I107" s="86">
        <f t="shared" ref="I107:O107" si="41">I74+I104-I105-I106</f>
        <v>1457.1064498126616</v>
      </c>
      <c r="J107" s="86">
        <f t="shared" si="41"/>
        <v>1780.5444157822949</v>
      </c>
      <c r="K107" s="86">
        <f t="shared" si="41"/>
        <v>2444.6981961093661</v>
      </c>
      <c r="L107" s="86">
        <f t="shared" si="41"/>
        <v>2956.1647721016689</v>
      </c>
      <c r="M107" s="86">
        <f t="shared" si="41"/>
        <v>3460.3151718029676</v>
      </c>
      <c r="N107" s="86">
        <f t="shared" si="41"/>
        <v>3843.457344728562</v>
      </c>
      <c r="O107" s="86">
        <f t="shared" si="41"/>
        <v>4192.6559083824941</v>
      </c>
    </row>
    <row r="108" spans="1:15" x14ac:dyDescent="0.55000000000000004">
      <c r="A108" s="66"/>
      <c r="B108" s="66" t="str">
        <f>'GAAP feeder'!A39</f>
        <v>Provision (benefit) for income taxes</v>
      </c>
      <c r="C108" s="69">
        <f>'GAAP feeder'!AS39/1000</f>
        <v>2.3260000000000001</v>
      </c>
      <c r="D108" s="69">
        <f>'GAAP feeder'!AT39/1000</f>
        <v>2.7669999999999999</v>
      </c>
      <c r="E108" s="69">
        <f>'GAAP feeder'!AU39/1000</f>
        <v>2.8620000000000001</v>
      </c>
      <c r="F108" s="69">
        <f>'GAAP feeder'!AV39/1000</f>
        <v>-1.3640000000000001</v>
      </c>
      <c r="G108" s="69">
        <f>'GAAP feeder'!AW39/1000</f>
        <v>-12.311999999999999</v>
      </c>
      <c r="H108" s="69">
        <f>'GAAP feeder'!AX39/1000</f>
        <v>-8.0190000000000001</v>
      </c>
      <c r="I108" s="177">
        <v>25</v>
      </c>
      <c r="J108" s="177">
        <v>50</v>
      </c>
      <c r="K108" s="177">
        <v>100</v>
      </c>
      <c r="L108" s="213">
        <f>0.1*L107</f>
        <v>295.61647721016692</v>
      </c>
      <c r="M108" s="213">
        <f>0.11*M107</f>
        <v>380.63466889832642</v>
      </c>
      <c r="N108" s="213">
        <f>0.13*N107</f>
        <v>499.64945481471307</v>
      </c>
      <c r="O108" s="213">
        <f>0.15*O107</f>
        <v>628.89838625737411</v>
      </c>
    </row>
    <row r="109" spans="1:15" x14ac:dyDescent="0.55000000000000004">
      <c r="A109" s="66"/>
      <c r="B109" s="66" t="str">
        <f>'GAAP feeder'!A40</f>
        <v>Deemed dividend on Series E preferred stock</v>
      </c>
      <c r="C109" s="69">
        <f>'GAAP feeder'!AS40/1000</f>
        <v>0</v>
      </c>
      <c r="D109" s="69">
        <f>'GAAP feeder'!AT40/1000</f>
        <v>0</v>
      </c>
      <c r="E109" s="69">
        <f>'GAAP feeder'!AU40/1000</f>
        <v>0</v>
      </c>
      <c r="F109" s="69">
        <f>'GAAP feeder'!AV40/1000</f>
        <v>0</v>
      </c>
      <c r="G109" s="69">
        <f>'GAAP feeder'!AW40/1000</f>
        <v>0</v>
      </c>
      <c r="H109" s="69">
        <f>'GAAP feeder'!AX40/1000</f>
        <v>0</v>
      </c>
      <c r="I109" s="177">
        <v>0</v>
      </c>
      <c r="J109" s="177">
        <v>0</v>
      </c>
      <c r="K109" s="177">
        <v>0</v>
      </c>
      <c r="L109" s="177">
        <v>0</v>
      </c>
      <c r="M109" s="177">
        <v>0</v>
      </c>
      <c r="N109" s="177">
        <v>0</v>
      </c>
      <c r="O109" s="177">
        <v>0</v>
      </c>
    </row>
    <row r="110" spans="1:15" x14ac:dyDescent="0.55000000000000004">
      <c r="A110" s="66"/>
      <c r="B110" s="66" t="str">
        <f>'GAAP feeder'!A41</f>
        <v xml:space="preserve">          Net income (loss) to common stockholders(3)</v>
      </c>
      <c r="C110" s="69">
        <f>'GAAP feeder'!AS41/1000</f>
        <v>0</v>
      </c>
      <c r="D110" s="69">
        <f>'GAAP feeder'!AT41/1000</f>
        <v>0</v>
      </c>
      <c r="E110" s="69">
        <f>'GAAP feeder'!AU41/1000</f>
        <v>0</v>
      </c>
      <c r="F110" s="69">
        <f>'GAAP feeder'!AV41/1000</f>
        <v>0</v>
      </c>
      <c r="G110" s="69">
        <f>'GAAP feeder'!AW41/1000</f>
        <v>0</v>
      </c>
      <c r="H110" s="69">
        <f>'GAAP feeder'!AX41/1000</f>
        <v>0</v>
      </c>
      <c r="I110" s="177">
        <v>0</v>
      </c>
      <c r="J110" s="177">
        <v>0</v>
      </c>
      <c r="K110" s="177">
        <v>0</v>
      </c>
      <c r="L110" s="177">
        <v>0</v>
      </c>
      <c r="M110" s="177">
        <v>0</v>
      </c>
      <c r="N110" s="177">
        <v>0</v>
      </c>
      <c r="O110" s="177">
        <v>0</v>
      </c>
    </row>
    <row r="111" spans="1:15" x14ac:dyDescent="0.55000000000000004">
      <c r="A111" s="66"/>
      <c r="B111" s="66" t="str">
        <f>'GAAP feeder'!A42</f>
        <v xml:space="preserve">          Net income (loss)</v>
      </c>
      <c r="C111" s="69">
        <f>'GAAP feeder'!AS42/1000</f>
        <v>-38.453000000000003</v>
      </c>
      <c r="D111" s="69">
        <f>'GAAP feeder'!AT42/1000</f>
        <v>375.44600000000003</v>
      </c>
      <c r="E111" s="69">
        <f>'GAAP feeder'!AU42/1000</f>
        <v>213.10499999999999</v>
      </c>
      <c r="F111" s="69">
        <f>'GAAP feeder'!AV42/1000</f>
        <v>158.82499999999999</v>
      </c>
      <c r="G111" s="69">
        <f>'GAAP feeder'!AW42/1000</f>
        <v>-553.005</v>
      </c>
      <c r="H111" s="69">
        <f>'GAAP feeder'!AX42/1000</f>
        <v>-21.123999999999999</v>
      </c>
      <c r="I111" s="69">
        <f>I107-I108-I109-I110</f>
        <v>1432.1064498126616</v>
      </c>
      <c r="J111" s="69">
        <f t="shared" ref="J111:O111" si="42">J107-J108-J109-J110</f>
        <v>1730.5444157822949</v>
      </c>
      <c r="K111" s="69">
        <f t="shared" si="42"/>
        <v>2344.6981961093661</v>
      </c>
      <c r="L111" s="69">
        <f t="shared" si="42"/>
        <v>2660.5482948915019</v>
      </c>
      <c r="M111" s="69">
        <f t="shared" si="42"/>
        <v>3079.6805029046413</v>
      </c>
      <c r="N111" s="69">
        <f t="shared" si="42"/>
        <v>3343.8078899138491</v>
      </c>
      <c r="O111" s="69">
        <f t="shared" si="42"/>
        <v>3563.75752212512</v>
      </c>
    </row>
    <row r="112" spans="1:15" x14ac:dyDescent="0.55000000000000004">
      <c r="A112" s="66"/>
      <c r="B112" s="66" t="str">
        <f>'GAAP feeder'!A43</f>
        <v>Net income (loss) attributable to noncontrolling interests</v>
      </c>
      <c r="C112" s="69">
        <f>'GAAP feeder'!AS43/1000</f>
        <v>0</v>
      </c>
      <c r="D112" s="69">
        <f>'GAAP feeder'!AT43/1000</f>
        <v>0</v>
      </c>
      <c r="E112" s="69">
        <f>'GAAP feeder'!AU43/1000</f>
        <v>0</v>
      </c>
      <c r="F112" s="69">
        <f>'GAAP feeder'!AV43/1000</f>
        <v>-7.4580000000000002</v>
      </c>
      <c r="G112" s="69">
        <f>'GAAP feeder'!AW43/1000</f>
        <v>-12.257999999999999</v>
      </c>
      <c r="H112" s="69">
        <f>'GAAP feeder'!AX43/1000</f>
        <v>-30.896000000000001</v>
      </c>
      <c r="I112" s="191">
        <f>H112</f>
        <v>-30.896000000000001</v>
      </c>
      <c r="J112" s="191">
        <f t="shared" ref="J112:O112" si="43">I112</f>
        <v>-30.896000000000001</v>
      </c>
      <c r="K112" s="191">
        <f t="shared" si="43"/>
        <v>-30.896000000000001</v>
      </c>
      <c r="L112" s="191">
        <f t="shared" si="43"/>
        <v>-30.896000000000001</v>
      </c>
      <c r="M112" s="191">
        <f t="shared" si="43"/>
        <v>-30.896000000000001</v>
      </c>
      <c r="N112" s="191">
        <f t="shared" si="43"/>
        <v>-30.896000000000001</v>
      </c>
      <c r="O112" s="191">
        <f t="shared" si="43"/>
        <v>-30.896000000000001</v>
      </c>
    </row>
    <row r="113" spans="1:15" x14ac:dyDescent="0.55000000000000004">
      <c r="A113" s="66"/>
      <c r="B113" s="67" t="s">
        <v>1207</v>
      </c>
      <c r="C113" s="86">
        <f>'GAAP feeder'!AS44/1000</f>
        <v>-38.453000000000003</v>
      </c>
      <c r="D113" s="86">
        <f>'GAAP feeder'!AT44/1000</f>
        <v>375.44600000000003</v>
      </c>
      <c r="E113" s="86">
        <f>'GAAP feeder'!AU44/1000</f>
        <v>213.10499999999999</v>
      </c>
      <c r="F113" s="86">
        <f>'GAAP feeder'!AV44/1000</f>
        <v>166.28299999999999</v>
      </c>
      <c r="G113" s="86">
        <f>'GAAP feeder'!AW44/1000</f>
        <v>-540.74699999999996</v>
      </c>
      <c r="H113" s="86">
        <f>'GAAP feeder'!AX44/1000</f>
        <v>9.7720000000000002</v>
      </c>
      <c r="I113" s="86">
        <f>I111+I112</f>
        <v>1401.2104498126616</v>
      </c>
      <c r="J113" s="86">
        <f t="shared" ref="J113:O113" si="44">J111+J112</f>
        <v>1699.6484157822949</v>
      </c>
      <c r="K113" s="86">
        <f t="shared" si="44"/>
        <v>2313.8021961093659</v>
      </c>
      <c r="L113" s="86">
        <f t="shared" si="44"/>
        <v>2629.6522948915017</v>
      </c>
      <c r="M113" s="86">
        <f t="shared" si="44"/>
        <v>3048.7845029046412</v>
      </c>
      <c r="N113" s="86">
        <f t="shared" si="44"/>
        <v>3312.9118899138489</v>
      </c>
      <c r="O113" s="86">
        <f t="shared" si="44"/>
        <v>3532.8615221251198</v>
      </c>
    </row>
    <row r="114" spans="1:15" x14ac:dyDescent="0.55000000000000004">
      <c r="A114" s="66"/>
      <c r="B114" s="66" t="s">
        <v>393</v>
      </c>
      <c r="C114" s="69"/>
      <c r="D114" s="69"/>
      <c r="E114" s="69"/>
      <c r="F114" s="69"/>
      <c r="G114" s="69"/>
      <c r="H114" s="134">
        <f t="shared" ref="H114:O114" si="45">H113/G113-1</f>
        <v>-1.0180712976678559</v>
      </c>
      <c r="I114" s="134">
        <f t="shared" si="45"/>
        <v>142.39034484370259</v>
      </c>
      <c r="J114" s="134">
        <f t="shared" si="45"/>
        <v>0.2129858266540432</v>
      </c>
      <c r="K114" s="134">
        <f t="shared" si="45"/>
        <v>0.36134166020705827</v>
      </c>
      <c r="L114" s="134">
        <f t="shared" si="45"/>
        <v>0.13650695781741162</v>
      </c>
      <c r="M114" s="134">
        <f t="shared" si="45"/>
        <v>0.15938693067040366</v>
      </c>
      <c r="N114" s="134">
        <f t="shared" si="45"/>
        <v>8.6633668846574086E-2</v>
      </c>
      <c r="O114" s="134">
        <f t="shared" si="45"/>
        <v>6.6391633559862218E-2</v>
      </c>
    </row>
    <row r="115" spans="1:15" x14ac:dyDescent="0.55000000000000004">
      <c r="A115" s="66"/>
      <c r="B115" s="66"/>
      <c r="C115" s="69"/>
      <c r="D115" s="69"/>
      <c r="E115" s="69"/>
      <c r="F115" s="69"/>
      <c r="G115" s="69"/>
      <c r="H115" s="134"/>
      <c r="I115" s="134"/>
      <c r="J115" s="134"/>
      <c r="K115" s="134"/>
      <c r="L115" s="134"/>
      <c r="M115" s="134"/>
      <c r="N115" s="134"/>
      <c r="O115" s="134"/>
    </row>
    <row r="116" spans="1:15" x14ac:dyDescent="0.55000000000000004">
      <c r="A116" s="66"/>
      <c r="B116" s="66" t="str">
        <f>'GAAP feeder'!A46</f>
        <v>Net income (loss) per share attributable to common stockholders(3)</v>
      </c>
      <c r="C116" s="69"/>
      <c r="D116" s="69"/>
      <c r="E116" s="69"/>
      <c r="F116" s="69"/>
      <c r="G116" s="69"/>
      <c r="H116" s="69"/>
      <c r="I116" s="66"/>
      <c r="J116" s="66"/>
      <c r="K116" s="66"/>
      <c r="L116" s="66"/>
      <c r="M116" s="66"/>
      <c r="N116" s="66"/>
      <c r="O116" s="66"/>
    </row>
    <row r="117" spans="1:15" x14ac:dyDescent="0.55000000000000004">
      <c r="A117" s="66"/>
      <c r="B117" s="66" t="str">
        <f>'GAAP feeder'!A47</f>
        <v xml:space="preserve">    Basic</v>
      </c>
      <c r="C117" s="84">
        <f>'GAAP feeder'!AS47</f>
        <v>-0.09</v>
      </c>
      <c r="D117" s="84">
        <f>'GAAP feeder'!AT47</f>
        <v>0.88</v>
      </c>
      <c r="E117" s="84">
        <f>'GAAP feeder'!AU47</f>
        <v>0.48</v>
      </c>
      <c r="F117" s="84">
        <f>'GAAP feeder'!AV47</f>
        <v>0.36272337009632799</v>
      </c>
      <c r="G117" s="84">
        <f>'GAAP feeder'!AW47</f>
        <v>-0.93</v>
      </c>
      <c r="H117" s="84">
        <f>'GAAP feeder'!AX47</f>
        <v>1.6049772031482001E-2</v>
      </c>
      <c r="I117" s="133">
        <f t="shared" ref="I117:O117" si="46">I113/I138</f>
        <v>2.2660126509136864</v>
      </c>
      <c r="J117" s="133">
        <f t="shared" si="46"/>
        <v>2.6295713388327933</v>
      </c>
      <c r="K117" s="133">
        <f t="shared" si="46"/>
        <v>3.4311108483077142</v>
      </c>
      <c r="L117" s="133">
        <f t="shared" si="46"/>
        <v>3.7440260933204459</v>
      </c>
      <c r="M117" s="133">
        <f t="shared" si="46"/>
        <v>4.1743613972360745</v>
      </c>
      <c r="N117" s="133">
        <f t="shared" si="46"/>
        <v>4.3685242815760184</v>
      </c>
      <c r="O117" s="133">
        <f t="shared" si="46"/>
        <v>4.4926799029262314</v>
      </c>
    </row>
    <row r="118" spans="1:15" x14ac:dyDescent="0.55000000000000004">
      <c r="A118" s="66"/>
      <c r="B118" s="66" t="str">
        <f>'GAAP feeder'!A48</f>
        <v xml:space="preserve">    Diluted</v>
      </c>
      <c r="C118" s="84">
        <f>'GAAP feeder'!AS48</f>
        <v>-0.09</v>
      </c>
      <c r="D118" s="84">
        <f>'GAAP feeder'!AT48</f>
        <v>0.81</v>
      </c>
      <c r="E118" s="84">
        <f>'GAAP feeder'!AU48</f>
        <v>0.44</v>
      </c>
      <c r="F118" s="84">
        <f>'GAAP feeder'!AV48</f>
        <v>0.33</v>
      </c>
      <c r="G118" s="84">
        <f>'GAAP feeder'!AW48</f>
        <v>-0.93</v>
      </c>
      <c r="H118" s="84">
        <f>'GAAP feeder'!AX48</f>
        <v>0.02</v>
      </c>
      <c r="I118" s="133">
        <f t="shared" ref="I118:O118" si="47">I113/I141</f>
        <v>2.2159831253363196</v>
      </c>
      <c r="J118" s="133">
        <f t="shared" si="47"/>
        <v>2.6964849850588508</v>
      </c>
      <c r="K118" s="133">
        <f t="shared" si="47"/>
        <v>3.7420788525510509</v>
      </c>
      <c r="L118" s="133">
        <f t="shared" si="47"/>
        <v>4.3731329323679597</v>
      </c>
      <c r="M118" s="133">
        <f t="shared" si="47"/>
        <v>5.2626950612867516</v>
      </c>
      <c r="N118" s="133">
        <f t="shared" si="47"/>
        <v>5.9443621077905844</v>
      </c>
      <c r="O118" s="133">
        <f t="shared" si="47"/>
        <v>6.5995320969235589</v>
      </c>
    </row>
    <row r="119" spans="1:15" x14ac:dyDescent="0.55000000000000004">
      <c r="A119" s="66"/>
      <c r="B119" s="66"/>
      <c r="C119" s="69"/>
      <c r="D119" s="69"/>
      <c r="E119" s="69"/>
      <c r="F119" s="69"/>
      <c r="G119" s="69"/>
      <c r="H119" s="69"/>
      <c r="I119" s="66"/>
      <c r="J119" s="66"/>
      <c r="K119" s="66"/>
      <c r="L119" s="66"/>
      <c r="M119" s="66"/>
      <c r="N119" s="66"/>
      <c r="O119" s="66"/>
    </row>
    <row r="120" spans="1:15" x14ac:dyDescent="0.55000000000000004">
      <c r="A120" s="66"/>
      <c r="B120" s="183" t="s">
        <v>682</v>
      </c>
      <c r="C120" s="69">
        <f t="shared" ref="C120:H120" si="48">C127-C113</f>
        <v>264.113</v>
      </c>
      <c r="D120" s="69">
        <f t="shared" si="48"/>
        <v>12.825999999999965</v>
      </c>
      <c r="E120" s="69">
        <f t="shared" si="48"/>
        <v>213.32399999999998</v>
      </c>
      <c r="F120" s="69">
        <f t="shared" si="48"/>
        <v>731.28200000000004</v>
      </c>
      <c r="G120" s="69">
        <f t="shared" si="48"/>
        <v>1153.8626300000001</v>
      </c>
      <c r="H120" s="69">
        <f t="shared" si="48"/>
        <v>1120.8702740000001</v>
      </c>
      <c r="I120" s="69">
        <f>SUM(I121:I126)</f>
        <v>940.42062330609861</v>
      </c>
      <c r="J120" s="69">
        <f t="shared" ref="J120:O120" si="49">SUM(J121:J126)</f>
        <v>1062.4795522540553</v>
      </c>
      <c r="K120" s="69">
        <f t="shared" si="49"/>
        <v>1094.0884895090571</v>
      </c>
      <c r="L120" s="69">
        <f t="shared" si="49"/>
        <v>1126.7399976178663</v>
      </c>
      <c r="M120" s="69">
        <f t="shared" si="49"/>
        <v>1160.4727582229498</v>
      </c>
      <c r="N120" s="69">
        <f t="shared" si="49"/>
        <v>1195.3270508763924</v>
      </c>
      <c r="O120" s="69">
        <f t="shared" si="49"/>
        <v>1231.3448245310644</v>
      </c>
    </row>
    <row r="121" spans="1:15" x14ac:dyDescent="0.55000000000000004">
      <c r="A121" s="66"/>
      <c r="B121" s="183" t="str">
        <f>'Non GAAP feeder'!A97</f>
        <v xml:space="preserve">     Share-based compensation expense</v>
      </c>
      <c r="C121" s="69"/>
      <c r="D121" s="69"/>
      <c r="E121" s="69"/>
      <c r="F121" s="69">
        <f>'Non GAAP feeder'!AV97/1000</f>
        <v>608.04200000000003</v>
      </c>
      <c r="G121" s="69">
        <f>'Non GAAP feeder'!AW97/1000</f>
        <v>1069.289</v>
      </c>
      <c r="H121" s="69">
        <f>'Non GAAP feeder'!AX97/1000</f>
        <v>1276.097</v>
      </c>
      <c r="I121" s="191">
        <f>H121</f>
        <v>1276.097</v>
      </c>
      <c r="J121" s="191">
        <f t="shared" ref="J121:O121" si="50">I121*1.025</f>
        <v>1307.999425</v>
      </c>
      <c r="K121" s="191">
        <f t="shared" si="50"/>
        <v>1340.6994106249999</v>
      </c>
      <c r="L121" s="191">
        <f t="shared" si="50"/>
        <v>1374.2168958906248</v>
      </c>
      <c r="M121" s="191">
        <f t="shared" si="50"/>
        <v>1408.5723182878903</v>
      </c>
      <c r="N121" s="191">
        <f t="shared" si="50"/>
        <v>1443.7866262450875</v>
      </c>
      <c r="O121" s="191">
        <f t="shared" si="50"/>
        <v>1479.8812919012146</v>
      </c>
    </row>
    <row r="122" spans="1:15" x14ac:dyDescent="0.55000000000000004">
      <c r="A122" s="66"/>
      <c r="B122" s="183" t="str">
        <f>'Non GAAP feeder'!A98</f>
        <v xml:space="preserve">     Acquisition-related and integration costs</v>
      </c>
      <c r="C122" s="69"/>
      <c r="D122" s="69"/>
      <c r="E122" s="69"/>
      <c r="F122" s="69">
        <f>'Non GAAP feeder'!AV98/1000</f>
        <v>35.473999999999997</v>
      </c>
      <c r="G122" s="69">
        <f>'Non GAAP feeder'!AW98/1000</f>
        <v>157.26400000000001</v>
      </c>
      <c r="H122" s="69">
        <f>'Non GAAP feeder'!AX98/1000</f>
        <v>133.83000000000001</v>
      </c>
      <c r="I122" s="191">
        <v>33</v>
      </c>
      <c r="J122" s="191">
        <f t="shared" ref="J122:O123" si="51">I122*1.05</f>
        <v>34.65</v>
      </c>
      <c r="K122" s="191">
        <f t="shared" si="51"/>
        <v>36.3825</v>
      </c>
      <c r="L122" s="191">
        <f t="shared" si="51"/>
        <v>38.201625</v>
      </c>
      <c r="M122" s="191">
        <f t="shared" si="51"/>
        <v>40.111706250000005</v>
      </c>
      <c r="N122" s="191">
        <f t="shared" si="51"/>
        <v>42.117291562500007</v>
      </c>
      <c r="O122" s="191">
        <f t="shared" si="51"/>
        <v>44.223156140625008</v>
      </c>
    </row>
    <row r="123" spans="1:15" x14ac:dyDescent="0.55000000000000004">
      <c r="A123" s="66"/>
      <c r="B123" s="183" t="str">
        <f>'Non GAAP feeder'!A99</f>
        <v xml:space="preserve">     Amortization of intangible assets</v>
      </c>
      <c r="C123" s="69"/>
      <c r="D123" s="69"/>
      <c r="E123" s="69"/>
      <c r="F123" s="69">
        <f>'Non GAAP feeder'!AV99/1000</f>
        <v>40.521999999999998</v>
      </c>
      <c r="G123" s="69">
        <f>'Non GAAP feeder'!AW99/1000</f>
        <v>208.952</v>
      </c>
      <c r="H123" s="69">
        <f>'Non GAAP feeder'!AX99/1000</f>
        <v>246.87299999999999</v>
      </c>
      <c r="I123" s="191">
        <f>H123*1.05</f>
        <v>259.21665000000002</v>
      </c>
      <c r="J123" s="191">
        <f t="shared" si="51"/>
        <v>272.17748250000005</v>
      </c>
      <c r="K123" s="191">
        <f t="shared" si="51"/>
        <v>285.78635662500005</v>
      </c>
      <c r="L123" s="191">
        <f t="shared" si="51"/>
        <v>300.07567445625006</v>
      </c>
      <c r="M123" s="191">
        <f t="shared" si="51"/>
        <v>315.07945817906256</v>
      </c>
      <c r="N123" s="191">
        <f t="shared" si="51"/>
        <v>330.83343108801569</v>
      </c>
      <c r="O123" s="191">
        <f t="shared" si="51"/>
        <v>347.37510264241649</v>
      </c>
    </row>
    <row r="124" spans="1:15" x14ac:dyDescent="0.55000000000000004">
      <c r="A124" s="66"/>
      <c r="B124" s="183" t="str">
        <f>'Non GAAP feeder'!A103</f>
        <v xml:space="preserve">     Bitcoin remeasurement</v>
      </c>
      <c r="C124" s="69"/>
      <c r="D124" s="69"/>
      <c r="E124" s="69"/>
      <c r="F124" s="69">
        <f>'Non GAAP feeder'!AV103/1000</f>
        <v>0</v>
      </c>
      <c r="G124" s="69">
        <f>'Non GAAP feeder'!AW103/1000</f>
        <v>0</v>
      </c>
      <c r="H124" s="69">
        <f>'Non GAAP feeder'!AX103/1000</f>
        <v>-207.084</v>
      </c>
      <c r="I124" s="191">
        <f>-233+70</f>
        <v>-163</v>
      </c>
      <c r="J124" s="191">
        <v>0</v>
      </c>
      <c r="K124" s="191">
        <v>0</v>
      </c>
      <c r="L124" s="191">
        <v>0</v>
      </c>
      <c r="M124" s="191">
        <v>0</v>
      </c>
      <c r="N124" s="191">
        <v>0</v>
      </c>
      <c r="O124" s="191">
        <v>0</v>
      </c>
    </row>
    <row r="125" spans="1:15" x14ac:dyDescent="0.55000000000000004">
      <c r="A125" s="66"/>
      <c r="B125" s="183" t="s">
        <v>701</v>
      </c>
      <c r="C125" s="69"/>
      <c r="D125" s="69"/>
      <c r="E125" s="69"/>
      <c r="F125" s="69">
        <f>(F120-F126)-F124-F123-F122-F121</f>
        <v>47.243999999999915</v>
      </c>
      <c r="G125" s="69">
        <f>(G120-G126)-G124-G123-G122-G121</f>
        <v>-17.118999999999915</v>
      </c>
      <c r="H125" s="69">
        <f>(H120-H126)-H124-H123-H122-H121</f>
        <v>253.8570000000002</v>
      </c>
      <c r="I125" s="191">
        <v>24</v>
      </c>
      <c r="J125" s="191">
        <v>0</v>
      </c>
      <c r="K125" s="191">
        <v>0</v>
      </c>
      <c r="L125" s="191">
        <v>0</v>
      </c>
      <c r="M125" s="191">
        <v>0</v>
      </c>
      <c r="N125" s="191">
        <v>0</v>
      </c>
      <c r="O125" s="191">
        <v>0</v>
      </c>
    </row>
    <row r="126" spans="1:15" x14ac:dyDescent="0.55000000000000004">
      <c r="A126" s="66"/>
      <c r="B126" s="219" t="s">
        <v>702</v>
      </c>
      <c r="C126" s="88"/>
      <c r="D126" s="88"/>
      <c r="E126" s="88"/>
      <c r="F126" s="88">
        <f>'Non GAAP feeder'!AV113/1000</f>
        <v>0</v>
      </c>
      <c r="G126" s="88">
        <f>'Non GAAP feeder'!AW113/1000</f>
        <v>-264.52337</v>
      </c>
      <c r="H126" s="88">
        <f>'Non GAAP feeder'!AX113/1000</f>
        <v>-582.70272599999998</v>
      </c>
      <c r="I126" s="88">
        <f>H126/SUM(H121:H125)*SUM(I121:I125)</f>
        <v>-488.8930266939015</v>
      </c>
      <c r="J126" s="88">
        <f t="shared" ref="J126:O126" si="52">I126/SUM(I121:I125)*SUM(J121:J125)</f>
        <v>-552.34735524594475</v>
      </c>
      <c r="K126" s="88">
        <f t="shared" si="52"/>
        <v>-568.7797777409429</v>
      </c>
      <c r="L126" s="88">
        <f t="shared" si="52"/>
        <v>-585.75419772900852</v>
      </c>
      <c r="M126" s="88">
        <f t="shared" si="52"/>
        <v>-603.29072449400303</v>
      </c>
      <c r="N126" s="88">
        <f t="shared" si="52"/>
        <v>-621.41029801921081</v>
      </c>
      <c r="O126" s="88">
        <f t="shared" si="52"/>
        <v>-640.13472615319165</v>
      </c>
    </row>
    <row r="127" spans="1:15" x14ac:dyDescent="0.55000000000000004">
      <c r="A127" s="66"/>
      <c r="B127" s="66" t="s">
        <v>681</v>
      </c>
      <c r="C127" s="69">
        <f>'Non GAAP feeder'!AS116/1000</f>
        <v>225.66</v>
      </c>
      <c r="D127" s="69">
        <f>'Non GAAP feeder'!AT116/1000</f>
        <v>388.27199999999999</v>
      </c>
      <c r="E127" s="69">
        <f>'Non GAAP feeder'!AU116/1000</f>
        <v>426.42899999999997</v>
      </c>
      <c r="F127" s="69">
        <f>'Non GAAP feeder'!AV116/1000</f>
        <v>897.56500000000005</v>
      </c>
      <c r="G127" s="69">
        <f>'Non GAAP feeder'!AW116/1000</f>
        <v>613.11563000000001</v>
      </c>
      <c r="H127" s="69">
        <f>'Non GAAP feeder'!AX116/1000</f>
        <v>1130.642274</v>
      </c>
      <c r="I127" s="69">
        <f t="shared" ref="I127:O127" si="53">I113+I120</f>
        <v>2341.6310731187605</v>
      </c>
      <c r="J127" s="69">
        <f t="shared" si="53"/>
        <v>2762.1279680363505</v>
      </c>
      <c r="K127" s="69">
        <f t="shared" si="53"/>
        <v>3407.890685618423</v>
      </c>
      <c r="L127" s="69">
        <f t="shared" si="53"/>
        <v>3756.392292509368</v>
      </c>
      <c r="M127" s="69">
        <f t="shared" si="53"/>
        <v>4209.2572611275909</v>
      </c>
      <c r="N127" s="69">
        <f t="shared" si="53"/>
        <v>4508.238940790241</v>
      </c>
      <c r="O127" s="69">
        <f t="shared" si="53"/>
        <v>4764.206346656184</v>
      </c>
    </row>
    <row r="128" spans="1:15" x14ac:dyDescent="0.55000000000000004">
      <c r="A128" s="66"/>
      <c r="B128" s="66" t="s">
        <v>393</v>
      </c>
      <c r="C128" s="69"/>
      <c r="D128" s="69"/>
      <c r="E128" s="69"/>
      <c r="F128" s="69"/>
      <c r="G128" s="69"/>
      <c r="H128" s="134">
        <f t="shared" ref="H128:O128" si="54">H127/G127-1</f>
        <v>0.84409305305102067</v>
      </c>
      <c r="I128" s="134">
        <f t="shared" si="54"/>
        <v>1.0710627286511314</v>
      </c>
      <c r="J128" s="134">
        <f t="shared" si="54"/>
        <v>0.17957435726949966</v>
      </c>
      <c r="K128" s="134">
        <f t="shared" si="54"/>
        <v>0.23379174500780198</v>
      </c>
      <c r="L128" s="134">
        <f t="shared" si="54"/>
        <v>0.1022631413506454</v>
      </c>
      <c r="M128" s="134">
        <f t="shared" si="54"/>
        <v>0.12055848626920107</v>
      </c>
      <c r="N128" s="134">
        <f t="shared" si="54"/>
        <v>7.102955726268867E-2</v>
      </c>
      <c r="O128" s="134">
        <f t="shared" si="54"/>
        <v>5.6777692848080319E-2</v>
      </c>
    </row>
    <row r="129" spans="1:15" x14ac:dyDescent="0.55000000000000004">
      <c r="A129" s="66"/>
      <c r="B129" s="66"/>
      <c r="C129" s="69"/>
      <c r="D129" s="69"/>
      <c r="E129" s="69"/>
      <c r="F129" s="69"/>
      <c r="G129" s="69"/>
      <c r="H129" s="134"/>
      <c r="I129" s="134"/>
      <c r="J129" s="134"/>
      <c r="K129" s="134"/>
      <c r="L129" s="134"/>
      <c r="M129" s="134"/>
      <c r="N129" s="134"/>
      <c r="O129" s="134"/>
    </row>
    <row r="130" spans="1:15" x14ac:dyDescent="0.55000000000000004">
      <c r="A130" s="66"/>
      <c r="B130" s="66" t="s">
        <v>707</v>
      </c>
      <c r="C130" s="69"/>
      <c r="D130" s="69"/>
      <c r="E130" s="69"/>
      <c r="F130" s="69">
        <f t="shared" ref="F130:O130" si="55">F127-F121*0.79</f>
        <v>417.21181999999999</v>
      </c>
      <c r="G130" s="69">
        <f t="shared" si="55"/>
        <v>-231.62268000000006</v>
      </c>
      <c r="H130" s="69">
        <f t="shared" si="55"/>
        <v>122.52564400000006</v>
      </c>
      <c r="I130" s="69">
        <f t="shared" si="55"/>
        <v>1333.5144431187605</v>
      </c>
      <c r="J130" s="69">
        <f t="shared" si="55"/>
        <v>1728.8084222863504</v>
      </c>
      <c r="K130" s="69">
        <f t="shared" si="55"/>
        <v>2348.7381512246729</v>
      </c>
      <c r="L130" s="69">
        <f t="shared" si="55"/>
        <v>2670.7609447557743</v>
      </c>
      <c r="M130" s="69">
        <f t="shared" si="55"/>
        <v>3096.4851296801576</v>
      </c>
      <c r="N130" s="69">
        <f t="shared" si="55"/>
        <v>3367.6475060566218</v>
      </c>
      <c r="O130" s="69">
        <f t="shared" si="55"/>
        <v>3595.1001260542243</v>
      </c>
    </row>
    <row r="131" spans="1:15" x14ac:dyDescent="0.55000000000000004">
      <c r="A131" s="66"/>
      <c r="B131" s="66" t="s">
        <v>393</v>
      </c>
      <c r="C131" s="69"/>
      <c r="D131" s="69"/>
      <c r="E131" s="69"/>
      <c r="F131" s="69"/>
      <c r="G131" s="69"/>
      <c r="H131" s="134">
        <f>H130/G130-1</f>
        <v>-1.5289881111815131</v>
      </c>
      <c r="I131" s="134">
        <f t="shared" ref="I131:O131" si="56">I130/H130-1</f>
        <v>9.8835538388907374</v>
      </c>
      <c r="J131" s="134">
        <f t="shared" si="56"/>
        <v>0.29643021956559767</v>
      </c>
      <c r="K131" s="134">
        <f t="shared" si="56"/>
        <v>0.35858786950983568</v>
      </c>
      <c r="L131" s="134">
        <f t="shared" si="56"/>
        <v>0.13710459523263285</v>
      </c>
      <c r="M131" s="134">
        <f t="shared" si="56"/>
        <v>0.15940183106253758</v>
      </c>
      <c r="N131" s="134">
        <f t="shared" si="56"/>
        <v>8.7571024894433469E-2</v>
      </c>
      <c r="O131" s="134">
        <f t="shared" si="56"/>
        <v>6.7540507012249673E-2</v>
      </c>
    </row>
    <row r="132" spans="1:15" x14ac:dyDescent="0.55000000000000004">
      <c r="A132" s="66"/>
      <c r="B132" s="66"/>
      <c r="C132" s="69"/>
      <c r="D132" s="69"/>
      <c r="E132" s="69"/>
      <c r="F132" s="69"/>
      <c r="G132" s="69"/>
      <c r="H132" s="69"/>
      <c r="I132" s="66"/>
      <c r="J132" s="66"/>
      <c r="K132" s="66"/>
      <c r="L132" s="66"/>
      <c r="M132" s="66"/>
      <c r="N132" s="66"/>
      <c r="O132" s="66"/>
    </row>
    <row r="133" spans="1:15" x14ac:dyDescent="0.55000000000000004">
      <c r="A133" s="66"/>
      <c r="B133" s="66" t="s">
        <v>655</v>
      </c>
      <c r="C133" s="69"/>
      <c r="D133" s="69"/>
      <c r="E133" s="69"/>
      <c r="F133" s="69"/>
      <c r="G133" s="69"/>
      <c r="H133" s="69"/>
      <c r="I133" s="66"/>
      <c r="J133" s="66"/>
      <c r="K133" s="66"/>
      <c r="L133" s="66"/>
      <c r="M133" s="66"/>
      <c r="N133" s="66"/>
      <c r="O133" s="66"/>
    </row>
    <row r="134" spans="1:15" x14ac:dyDescent="0.55000000000000004">
      <c r="A134" s="66"/>
      <c r="B134" s="66" t="s">
        <v>656</v>
      </c>
      <c r="C134" s="69"/>
      <c r="D134" s="69"/>
      <c r="E134" s="69"/>
      <c r="F134" s="69"/>
      <c r="G134" s="69"/>
      <c r="H134" s="69"/>
      <c r="I134" s="66"/>
      <c r="J134" s="66"/>
      <c r="K134" s="66"/>
      <c r="L134" s="66"/>
      <c r="M134" s="66"/>
      <c r="N134" s="66"/>
      <c r="O134" s="66"/>
    </row>
    <row r="135" spans="1:15" x14ac:dyDescent="0.55000000000000004">
      <c r="A135" s="66"/>
      <c r="B135" s="66" t="s">
        <v>657</v>
      </c>
      <c r="C135" s="69"/>
      <c r="D135" s="69"/>
      <c r="E135" s="69"/>
      <c r="F135" s="69"/>
      <c r="G135" s="69"/>
      <c r="H135" s="69"/>
      <c r="I135" s="66"/>
      <c r="J135" s="66"/>
      <c r="K135" s="66"/>
      <c r="L135" s="66"/>
      <c r="M135" s="66"/>
      <c r="N135" s="66"/>
      <c r="O135" s="66"/>
    </row>
    <row r="136" spans="1:15" x14ac:dyDescent="0.55000000000000004">
      <c r="A136" s="66"/>
      <c r="B136" s="66"/>
      <c r="C136" s="69"/>
      <c r="D136" s="69"/>
      <c r="E136" s="69"/>
      <c r="F136" s="69"/>
      <c r="G136" s="69"/>
      <c r="H136" s="69"/>
      <c r="I136" s="66"/>
      <c r="J136" s="66"/>
      <c r="K136" s="66"/>
      <c r="L136" s="66"/>
      <c r="M136" s="66"/>
      <c r="N136" s="66"/>
      <c r="O136" s="66"/>
    </row>
    <row r="137" spans="1:15" x14ac:dyDescent="0.55000000000000004">
      <c r="A137" s="66"/>
      <c r="B137" s="66" t="str">
        <f>'GAAP feeder'!A50</f>
        <v>Weighted-average shares used to compute net income (loss) per share attributable to common stockholders</v>
      </c>
      <c r="C137" s="69"/>
      <c r="D137" s="69"/>
      <c r="E137" s="69"/>
      <c r="F137" s="69"/>
      <c r="G137" s="69"/>
      <c r="H137" s="69"/>
      <c r="I137" s="66"/>
      <c r="J137" s="66"/>
      <c r="K137" s="66"/>
      <c r="L137" s="66"/>
      <c r="M137" s="66"/>
      <c r="N137" s="66"/>
      <c r="O137" s="66"/>
    </row>
    <row r="138" spans="1:15" x14ac:dyDescent="0.55000000000000004">
      <c r="A138" s="66"/>
      <c r="B138" s="66" t="str">
        <f>'GAAP feeder'!A51</f>
        <v xml:space="preserve">    Basic</v>
      </c>
      <c r="C138" s="69">
        <f>'Non GAAP feeder'!AS123/1000</f>
        <v>405.73099999999999</v>
      </c>
      <c r="D138" s="69">
        <f>'Non GAAP feeder'!AT123/1000</f>
        <v>424.99900000000002</v>
      </c>
      <c r="E138" s="69">
        <f>'Non GAAP feeder'!AU123/1000</f>
        <v>443.12599999999998</v>
      </c>
      <c r="F138" s="69">
        <f>'Non GAAP feeder'!AV123/1000</f>
        <v>458.43200000000002</v>
      </c>
      <c r="G138" s="69">
        <f>'Non GAAP feeder'!AW123/1000</f>
        <v>578.94899999999996</v>
      </c>
      <c r="H138" s="69">
        <f>'Non GAAP feeder'!AX123/1000</f>
        <v>608.85599999999999</v>
      </c>
      <c r="I138" s="69">
        <f>AVERAGE(Interims!S123,Interims!O123)</f>
        <v>618.35950000000003</v>
      </c>
      <c r="J138" s="69">
        <f t="shared" ref="J138:O138" si="57">I138+J144</f>
        <v>646.35950000000003</v>
      </c>
      <c r="K138" s="69">
        <f t="shared" si="57"/>
        <v>674.35950000000003</v>
      </c>
      <c r="L138" s="69">
        <f t="shared" si="57"/>
        <v>702.35950000000003</v>
      </c>
      <c r="M138" s="69">
        <f t="shared" si="57"/>
        <v>730.35950000000003</v>
      </c>
      <c r="N138" s="69">
        <f t="shared" si="57"/>
        <v>758.35950000000003</v>
      </c>
      <c r="O138" s="69">
        <f t="shared" si="57"/>
        <v>786.35950000000003</v>
      </c>
    </row>
    <row r="139" spans="1:15" x14ac:dyDescent="0.55000000000000004">
      <c r="A139" s="66"/>
      <c r="B139" s="66" t="s">
        <v>664</v>
      </c>
      <c r="C139" s="69"/>
      <c r="D139" s="69">
        <f t="shared" ref="D139:I139" si="58">D138-C138</f>
        <v>19.268000000000029</v>
      </c>
      <c r="E139" s="69">
        <f t="shared" si="58"/>
        <v>18.126999999999953</v>
      </c>
      <c r="F139" s="69">
        <f t="shared" si="58"/>
        <v>15.30600000000004</v>
      </c>
      <c r="G139" s="69">
        <f t="shared" si="58"/>
        <v>120.51699999999994</v>
      </c>
      <c r="H139" s="69">
        <f t="shared" si="58"/>
        <v>29.907000000000039</v>
      </c>
      <c r="I139" s="69">
        <f t="shared" si="58"/>
        <v>9.5035000000000309</v>
      </c>
      <c r="J139" s="191">
        <v>10</v>
      </c>
      <c r="K139" s="191">
        <v>10</v>
      </c>
      <c r="L139" s="191">
        <v>10</v>
      </c>
      <c r="M139" s="191">
        <v>10</v>
      </c>
      <c r="N139" s="191">
        <v>10</v>
      </c>
      <c r="O139" s="191">
        <v>10</v>
      </c>
    </row>
    <row r="140" spans="1:15" x14ac:dyDescent="0.55000000000000004">
      <c r="A140" s="66"/>
      <c r="B140" s="66"/>
      <c r="C140" s="69"/>
      <c r="D140" s="69"/>
      <c r="E140" s="69"/>
      <c r="F140" s="69"/>
      <c r="G140" s="69"/>
      <c r="H140" s="69"/>
      <c r="I140" s="66"/>
      <c r="J140" s="66"/>
      <c r="K140" s="66"/>
      <c r="L140" s="66"/>
      <c r="M140" s="66"/>
      <c r="N140" s="66"/>
      <c r="O140" s="66"/>
    </row>
    <row r="141" spans="1:15" x14ac:dyDescent="0.55000000000000004">
      <c r="A141" s="66"/>
      <c r="B141" s="66" t="str">
        <f>'GAAP feeder'!A52</f>
        <v xml:space="preserve">    Diluted</v>
      </c>
      <c r="C141" s="69">
        <f>'Non GAAP feeder'!AS124/1000</f>
        <v>478.89499999999998</v>
      </c>
      <c r="D141" s="69">
        <f>'Non GAAP feeder'!AT124/1000</f>
        <v>486.38099999999997</v>
      </c>
      <c r="E141" s="69">
        <f>'Non GAAP feeder'!AU124/1000</f>
        <v>507.22899999999998</v>
      </c>
      <c r="F141" s="69">
        <f>'Non GAAP feeder'!AV124/1000</f>
        <v>525.72500000000002</v>
      </c>
      <c r="G141" s="69">
        <f>'Non GAAP feeder'!AW124/1000</f>
        <v>615.03399999999999</v>
      </c>
      <c r="H141" s="69">
        <f>'Non GAAP feeder'!AX124/1000</f>
        <v>628.32000000000005</v>
      </c>
      <c r="I141" s="69">
        <f>H141+I144-I148</f>
        <v>632.32000000000005</v>
      </c>
      <c r="J141" s="69">
        <f t="shared" ref="J141:O141" si="59">I141+J144-J148</f>
        <v>630.32000000000005</v>
      </c>
      <c r="K141" s="69">
        <f t="shared" si="59"/>
        <v>618.32000000000005</v>
      </c>
      <c r="L141" s="69">
        <f t="shared" si="59"/>
        <v>601.32000000000005</v>
      </c>
      <c r="M141" s="69">
        <f t="shared" si="59"/>
        <v>579.32000000000005</v>
      </c>
      <c r="N141" s="69">
        <f t="shared" si="59"/>
        <v>557.32000000000005</v>
      </c>
      <c r="O141" s="69">
        <f t="shared" si="59"/>
        <v>535.32000000000005</v>
      </c>
    </row>
    <row r="142" spans="1:15" x14ac:dyDescent="0.55000000000000004">
      <c r="A142" s="66"/>
      <c r="B142" s="66" t="s">
        <v>1232</v>
      </c>
      <c r="C142" s="69"/>
      <c r="D142" s="69"/>
      <c r="E142" s="69"/>
      <c r="F142" s="69"/>
      <c r="G142" s="69">
        <f>G141-F141</f>
        <v>89.308999999999969</v>
      </c>
      <c r="H142" s="69">
        <f>H141-G141</f>
        <v>13.286000000000058</v>
      </c>
      <c r="I142" s="69">
        <f t="shared" ref="I142:O142" si="60">I141-H141</f>
        <v>4</v>
      </c>
      <c r="J142" s="69">
        <f t="shared" si="60"/>
        <v>-2</v>
      </c>
      <c r="K142" s="69">
        <f t="shared" si="60"/>
        <v>-12</v>
      </c>
      <c r="L142" s="69">
        <f t="shared" si="60"/>
        <v>-17</v>
      </c>
      <c r="M142" s="69">
        <f t="shared" si="60"/>
        <v>-22</v>
      </c>
      <c r="N142" s="69">
        <f t="shared" si="60"/>
        <v>-22</v>
      </c>
      <c r="O142" s="69">
        <f t="shared" si="60"/>
        <v>-22</v>
      </c>
    </row>
    <row r="143" spans="1:15" x14ac:dyDescent="0.55000000000000004">
      <c r="A143" s="66"/>
      <c r="B143" s="66"/>
      <c r="C143" s="69"/>
      <c r="D143" s="69"/>
      <c r="E143" s="69"/>
      <c r="F143" s="69"/>
      <c r="G143" s="69"/>
      <c r="H143" s="69"/>
      <c r="I143" s="69"/>
      <c r="J143" s="69"/>
      <c r="K143" s="69"/>
      <c r="L143" s="69"/>
      <c r="M143" s="69"/>
      <c r="N143" s="69"/>
      <c r="O143" s="69"/>
    </row>
    <row r="144" spans="1:15" x14ac:dyDescent="0.55000000000000004">
      <c r="A144" s="66"/>
      <c r="B144" s="66" t="s">
        <v>666</v>
      </c>
      <c r="C144" s="69"/>
      <c r="D144" s="69">
        <f>D141-C141</f>
        <v>7.48599999999999</v>
      </c>
      <c r="E144" s="69">
        <f>E141-D141</f>
        <v>20.848000000000013</v>
      </c>
      <c r="F144" s="69">
        <f>F141-E141</f>
        <v>18.496000000000038</v>
      </c>
      <c r="G144" s="69">
        <f>G141-F141</f>
        <v>89.308999999999969</v>
      </c>
      <c r="H144" s="69">
        <f>H141-G141</f>
        <v>13.286000000000058</v>
      </c>
      <c r="I144" s="191">
        <v>28</v>
      </c>
      <c r="J144" s="191">
        <v>28</v>
      </c>
      <c r="K144" s="191">
        <v>28</v>
      </c>
      <c r="L144" s="191">
        <v>28</v>
      </c>
      <c r="M144" s="191">
        <v>28</v>
      </c>
      <c r="N144" s="191">
        <v>28</v>
      </c>
      <c r="O144" s="191">
        <v>28</v>
      </c>
    </row>
    <row r="145" spans="1:15" x14ac:dyDescent="0.55000000000000004">
      <c r="A145" s="66"/>
      <c r="B145" s="66"/>
      <c r="C145" s="69"/>
      <c r="D145" s="69"/>
      <c r="E145" s="69"/>
      <c r="F145" s="69"/>
      <c r="G145" s="69"/>
      <c r="H145" s="69"/>
      <c r="I145" s="69"/>
      <c r="J145" s="191"/>
      <c r="K145" s="191"/>
      <c r="L145" s="191"/>
      <c r="M145" s="191"/>
      <c r="N145" s="191"/>
      <c r="O145" s="191"/>
    </row>
    <row r="146" spans="1:15" x14ac:dyDescent="0.55000000000000004">
      <c r="A146" s="66"/>
      <c r="B146" s="66" t="s">
        <v>667</v>
      </c>
      <c r="C146" s="69"/>
      <c r="D146" s="69"/>
      <c r="E146" s="69"/>
      <c r="F146" s="69"/>
      <c r="G146" s="69">
        <v>81.8</v>
      </c>
      <c r="H146" s="69">
        <v>130.4</v>
      </c>
      <c r="I146" s="69">
        <f>I147*I148</f>
        <v>1560</v>
      </c>
      <c r="J146" s="69">
        <f t="shared" ref="J146:O146" si="61">J147*J148</f>
        <v>1950</v>
      </c>
      <c r="K146" s="69">
        <f t="shared" si="61"/>
        <v>2600</v>
      </c>
      <c r="L146" s="69">
        <f t="shared" si="61"/>
        <v>2925</v>
      </c>
      <c r="M146" s="69">
        <f t="shared" si="61"/>
        <v>3250</v>
      </c>
      <c r="N146" s="69">
        <f t="shared" si="61"/>
        <v>3250</v>
      </c>
      <c r="O146" s="69">
        <f t="shared" si="61"/>
        <v>3250</v>
      </c>
    </row>
    <row r="147" spans="1:15" x14ac:dyDescent="0.55000000000000004">
      <c r="A147" s="66"/>
      <c r="B147" s="66" t="s">
        <v>1231</v>
      </c>
      <c r="C147" s="69"/>
      <c r="D147" s="69"/>
      <c r="E147" s="69"/>
      <c r="F147" s="69"/>
      <c r="G147" s="69"/>
      <c r="H147" s="69">
        <f>H146/H148</f>
        <v>52.879156528791562</v>
      </c>
      <c r="I147" s="191">
        <v>65</v>
      </c>
      <c r="J147" s="191">
        <v>65</v>
      </c>
      <c r="K147" s="191">
        <v>65</v>
      </c>
      <c r="L147" s="191">
        <v>65</v>
      </c>
      <c r="M147" s="191">
        <v>65</v>
      </c>
      <c r="N147" s="191">
        <v>65</v>
      </c>
      <c r="O147" s="191">
        <v>65</v>
      </c>
    </row>
    <row r="148" spans="1:15" x14ac:dyDescent="0.55000000000000004">
      <c r="A148" s="66"/>
      <c r="B148" s="66" t="s">
        <v>1230</v>
      </c>
      <c r="C148" s="69"/>
      <c r="D148" s="69"/>
      <c r="E148" s="69"/>
      <c r="F148" s="69"/>
      <c r="G148" s="69"/>
      <c r="H148" s="173">
        <v>2.4660000000000002</v>
      </c>
      <c r="I148" s="233">
        <v>24</v>
      </c>
      <c r="J148" s="233">
        <v>30</v>
      </c>
      <c r="K148" s="233">
        <v>40</v>
      </c>
      <c r="L148" s="233">
        <v>45</v>
      </c>
      <c r="M148" s="233">
        <v>50</v>
      </c>
      <c r="N148" s="233">
        <v>50</v>
      </c>
      <c r="O148" s="233">
        <v>50</v>
      </c>
    </row>
    <row r="149" spans="1:15" x14ac:dyDescent="0.55000000000000004">
      <c r="A149" s="66"/>
      <c r="B149" s="66" t="s">
        <v>1229</v>
      </c>
      <c r="C149" s="69"/>
      <c r="D149" s="69"/>
      <c r="E149" s="69"/>
      <c r="F149" s="69"/>
      <c r="G149" s="69"/>
      <c r="H149" s="171">
        <f>H148/G141</f>
        <v>4.0095344322427706E-3</v>
      </c>
      <c r="I149" s="171">
        <f>I148/H141</f>
        <v>3.819709702062643E-2</v>
      </c>
      <c r="J149" s="171">
        <f t="shared" ref="J149:O149" si="62">J148/I141</f>
        <v>4.7444331983805661E-2</v>
      </c>
      <c r="K149" s="171">
        <f t="shared" si="62"/>
        <v>6.3459829927655795E-2</v>
      </c>
      <c r="L149" s="171">
        <f t="shared" si="62"/>
        <v>7.2777849657135463E-2</v>
      </c>
      <c r="M149" s="171">
        <f t="shared" si="62"/>
        <v>8.3150402447947844E-2</v>
      </c>
      <c r="N149" s="171">
        <f t="shared" si="62"/>
        <v>8.6308085341434776E-2</v>
      </c>
      <c r="O149" s="171">
        <f t="shared" si="62"/>
        <v>8.9715064953707013E-2</v>
      </c>
    </row>
    <row r="150" spans="1:15" x14ac:dyDescent="0.55000000000000004">
      <c r="A150" s="66"/>
      <c r="B150" s="66"/>
      <c r="C150" s="69"/>
      <c r="D150" s="69"/>
      <c r="E150" s="69"/>
      <c r="F150" s="69"/>
      <c r="G150" s="69"/>
      <c r="H150" s="69"/>
      <c r="I150" s="66"/>
      <c r="J150" s="66"/>
      <c r="K150" s="66"/>
      <c r="L150" s="66"/>
      <c r="M150" s="66"/>
      <c r="N150" s="66"/>
      <c r="O150" s="66"/>
    </row>
    <row r="151" spans="1:15" x14ac:dyDescent="0.55000000000000004">
      <c r="A151" s="66"/>
      <c r="B151" s="66" t="s">
        <v>1262</v>
      </c>
      <c r="C151" s="69"/>
      <c r="D151" s="69"/>
      <c r="E151" s="69"/>
      <c r="F151" s="69"/>
      <c r="G151" s="69"/>
      <c r="H151" s="134">
        <f>H146/H191</f>
        <v>0.25398062034376995</v>
      </c>
      <c r="I151" s="134">
        <f t="shared" ref="I151:O151" si="63">I146/I191</f>
        <v>0.80415665032321348</v>
      </c>
      <c r="J151" s="134">
        <f t="shared" si="63"/>
        <v>0.73584778326149725</v>
      </c>
      <c r="K151" s="134">
        <f t="shared" si="63"/>
        <v>0.76704860759567017</v>
      </c>
      <c r="L151" s="134">
        <f t="shared" si="63"/>
        <v>0.76379355703705087</v>
      </c>
      <c r="M151" s="134">
        <f t="shared" si="63"/>
        <v>0.74527752940783043</v>
      </c>
      <c r="N151" s="134">
        <f t="shared" si="63"/>
        <v>0.69074945578675984</v>
      </c>
      <c r="O151" s="134">
        <f t="shared" si="63"/>
        <v>0.64999548785350925</v>
      </c>
    </row>
    <row r="152" spans="1:15" x14ac:dyDescent="0.55000000000000004">
      <c r="A152" s="66"/>
      <c r="B152" s="66"/>
      <c r="C152" s="69"/>
      <c r="D152" s="69"/>
      <c r="E152" s="69"/>
      <c r="F152" s="69"/>
      <c r="G152" s="69"/>
      <c r="H152" s="69"/>
      <c r="I152" s="66"/>
      <c r="J152" s="66"/>
      <c r="K152" s="66"/>
      <c r="L152" s="66"/>
      <c r="M152" s="66"/>
      <c r="N152" s="66"/>
      <c r="O152" s="66"/>
    </row>
    <row r="153" spans="1:15" x14ac:dyDescent="0.55000000000000004">
      <c r="A153" s="66"/>
      <c r="B153" s="66" t="s">
        <v>659</v>
      </c>
      <c r="C153" s="69"/>
      <c r="D153" s="69"/>
      <c r="E153" s="69"/>
      <c r="F153" s="69"/>
      <c r="G153" s="69"/>
      <c r="H153" s="69">
        <v>555.17999999999995</v>
      </c>
      <c r="I153" s="66"/>
      <c r="J153" s="66"/>
      <c r="K153" s="66"/>
      <c r="L153" s="66"/>
      <c r="M153" s="66"/>
      <c r="N153" s="66"/>
      <c r="O153" s="66"/>
    </row>
    <row r="154" spans="1:15" x14ac:dyDescent="0.55000000000000004">
      <c r="A154" s="66"/>
      <c r="B154" s="87" t="s">
        <v>660</v>
      </c>
      <c r="C154" s="88"/>
      <c r="D154" s="88"/>
      <c r="E154" s="88"/>
      <c r="F154" s="88"/>
      <c r="G154" s="88"/>
      <c r="H154" s="88">
        <v>60.512999999999998</v>
      </c>
      <c r="I154" s="87"/>
      <c r="J154" s="87"/>
      <c r="K154" s="87"/>
      <c r="L154" s="87"/>
      <c r="M154" s="87"/>
      <c r="N154" s="87"/>
      <c r="O154" s="87"/>
    </row>
    <row r="155" spans="1:15" x14ac:dyDescent="0.55000000000000004">
      <c r="A155" s="66"/>
      <c r="B155" s="66" t="s">
        <v>277</v>
      </c>
      <c r="C155" s="69"/>
      <c r="D155" s="69"/>
      <c r="E155" s="69"/>
      <c r="F155" s="69"/>
      <c r="G155" s="69"/>
      <c r="H155" s="69">
        <f>H153+H154</f>
        <v>615.69299999999998</v>
      </c>
      <c r="I155" s="69">
        <f>H155+I144-I148</f>
        <v>619.69299999999998</v>
      </c>
      <c r="J155" s="69">
        <f t="shared" ref="J155:O155" si="64">I155+J144-J148</f>
        <v>617.69299999999998</v>
      </c>
      <c r="K155" s="69">
        <f t="shared" si="64"/>
        <v>605.69299999999998</v>
      </c>
      <c r="L155" s="69">
        <f t="shared" si="64"/>
        <v>588.69299999999998</v>
      </c>
      <c r="M155" s="69">
        <f t="shared" si="64"/>
        <v>566.69299999999998</v>
      </c>
      <c r="N155" s="69">
        <f t="shared" si="64"/>
        <v>544.69299999999998</v>
      </c>
      <c r="O155" s="69">
        <f t="shared" si="64"/>
        <v>522.69299999999998</v>
      </c>
    </row>
    <row r="156" spans="1:15" x14ac:dyDescent="0.55000000000000004">
      <c r="A156" s="66"/>
      <c r="B156" s="66" t="s">
        <v>658</v>
      </c>
      <c r="C156" s="69"/>
      <c r="D156" s="69"/>
      <c r="E156" s="69"/>
      <c r="F156" s="69"/>
      <c r="G156" s="69"/>
      <c r="H156" s="69"/>
      <c r="I156" s="66"/>
      <c r="J156" s="66"/>
      <c r="K156" s="66"/>
      <c r="L156" s="66"/>
      <c r="M156" s="66"/>
      <c r="N156" s="66"/>
      <c r="O156" s="66"/>
    </row>
    <row r="157" spans="1:15" x14ac:dyDescent="0.55000000000000004">
      <c r="A157" s="66"/>
      <c r="B157" s="66"/>
      <c r="C157" s="69"/>
      <c r="D157" s="69"/>
      <c r="E157" s="69"/>
      <c r="F157" s="69"/>
      <c r="G157" s="69"/>
      <c r="H157" s="69"/>
      <c r="I157" s="69"/>
      <c r="J157" s="66"/>
      <c r="K157" s="66"/>
      <c r="L157" s="66"/>
      <c r="M157" s="66"/>
      <c r="N157" s="66"/>
      <c r="O157" s="66"/>
    </row>
    <row r="158" spans="1:15" x14ac:dyDescent="0.55000000000000004">
      <c r="B158" s="67" t="s">
        <v>1206</v>
      </c>
      <c r="C158" s="69"/>
      <c r="D158" s="69"/>
      <c r="E158" s="69"/>
      <c r="F158" s="69"/>
      <c r="G158" s="69"/>
      <c r="H158" s="69"/>
    </row>
    <row r="159" spans="1:15" x14ac:dyDescent="0.55000000000000004">
      <c r="B159" s="66" t="s">
        <v>1208</v>
      </c>
      <c r="C159" s="69"/>
      <c r="D159" s="69"/>
      <c r="E159" s="69"/>
      <c r="F159" s="69"/>
      <c r="G159" s="197">
        <f>G111</f>
        <v>-553.005</v>
      </c>
      <c r="H159" s="197">
        <f>H111</f>
        <v>-21.123999999999999</v>
      </c>
      <c r="I159" s="197">
        <f t="shared" ref="I159:O159" si="65">I111</f>
        <v>1432.1064498126616</v>
      </c>
      <c r="J159" s="197">
        <f t="shared" si="65"/>
        <v>1730.5444157822949</v>
      </c>
      <c r="K159" s="197">
        <f t="shared" si="65"/>
        <v>2344.6981961093661</v>
      </c>
      <c r="L159" s="197">
        <f t="shared" si="65"/>
        <v>2660.5482948915019</v>
      </c>
      <c r="M159" s="197">
        <f t="shared" si="65"/>
        <v>3079.6805029046413</v>
      </c>
      <c r="N159" s="197">
        <f t="shared" si="65"/>
        <v>3343.8078899138491</v>
      </c>
      <c r="O159" s="197">
        <f t="shared" si="65"/>
        <v>3563.75752212512</v>
      </c>
    </row>
    <row r="160" spans="1:15" x14ac:dyDescent="0.55000000000000004">
      <c r="B160" s="66" t="s">
        <v>320</v>
      </c>
      <c r="C160" s="69"/>
      <c r="D160" s="69"/>
      <c r="E160" s="69"/>
      <c r="F160" s="69"/>
      <c r="G160" s="197">
        <f t="shared" ref="G160:O160" si="66">-G95</f>
        <v>340.52300000000002</v>
      </c>
      <c r="H160" s="197">
        <f t="shared" si="66"/>
        <v>408.56</v>
      </c>
      <c r="I160" s="197">
        <f t="shared" si="66"/>
        <v>444.87044692877646</v>
      </c>
      <c r="J160" s="197">
        <f t="shared" si="66"/>
        <v>508.27495732751407</v>
      </c>
      <c r="K160" s="197">
        <f t="shared" si="66"/>
        <v>575.27162891575472</v>
      </c>
      <c r="L160" s="197">
        <f t="shared" si="66"/>
        <v>642.17903203088736</v>
      </c>
      <c r="M160" s="197">
        <f t="shared" si="66"/>
        <v>706.94278024580535</v>
      </c>
      <c r="N160" s="197">
        <f t="shared" si="66"/>
        <v>760.08907354415419</v>
      </c>
      <c r="O160" s="197">
        <f t="shared" si="66"/>
        <v>811.70920417147863</v>
      </c>
    </row>
    <row r="161" spans="2:15" x14ac:dyDescent="0.55000000000000004">
      <c r="B161" s="66" t="s">
        <v>1211</v>
      </c>
      <c r="C161" s="69"/>
      <c r="D161" s="69"/>
      <c r="E161" s="69"/>
      <c r="F161" s="69"/>
      <c r="G161" s="197">
        <v>-592</v>
      </c>
      <c r="H161" s="197">
        <v>-984</v>
      </c>
      <c r="I161" s="191">
        <f>H161</f>
        <v>-984</v>
      </c>
      <c r="J161" s="191">
        <v>-850</v>
      </c>
      <c r="K161" s="191">
        <f>J161</f>
        <v>-850</v>
      </c>
      <c r="L161" s="191">
        <f>K161</f>
        <v>-850</v>
      </c>
      <c r="M161" s="191">
        <f>L161</f>
        <v>-850</v>
      </c>
      <c r="N161" s="191">
        <f>M161</f>
        <v>-850</v>
      </c>
      <c r="O161" s="191">
        <f>N161</f>
        <v>-850</v>
      </c>
    </row>
    <row r="162" spans="2:15" x14ac:dyDescent="0.55000000000000004">
      <c r="B162" s="66" t="s">
        <v>1212</v>
      </c>
      <c r="C162" s="69"/>
      <c r="D162" s="69"/>
      <c r="E162" s="69"/>
      <c r="F162" s="69"/>
      <c r="G162" s="197">
        <v>130</v>
      </c>
      <c r="H162" s="197">
        <v>144</v>
      </c>
      <c r="I162" s="191">
        <v>100</v>
      </c>
      <c r="J162" s="191">
        <f t="shared" ref="J162:O162" si="67">I162*1.05</f>
        <v>105</v>
      </c>
      <c r="K162" s="191">
        <f t="shared" si="67"/>
        <v>110.25</v>
      </c>
      <c r="L162" s="191">
        <f t="shared" si="67"/>
        <v>115.7625</v>
      </c>
      <c r="M162" s="191">
        <f t="shared" si="67"/>
        <v>121.55062500000001</v>
      </c>
      <c r="N162" s="191">
        <f t="shared" si="67"/>
        <v>127.62815625000002</v>
      </c>
      <c r="O162" s="191">
        <f t="shared" si="67"/>
        <v>134.00956406250003</v>
      </c>
    </row>
    <row r="163" spans="2:15" x14ac:dyDescent="0.55000000000000004">
      <c r="B163" s="66" t="s">
        <v>1213</v>
      </c>
      <c r="C163" s="69"/>
      <c r="D163" s="69"/>
      <c r="E163" s="69"/>
      <c r="F163" s="69"/>
      <c r="G163" s="197">
        <f t="shared" ref="G163:O163" si="68">-G99</f>
        <v>1069.289</v>
      </c>
      <c r="H163" s="197">
        <f t="shared" si="68"/>
        <v>1276.097</v>
      </c>
      <c r="I163" s="197">
        <f t="shared" si="68"/>
        <v>1276.097</v>
      </c>
      <c r="J163" s="197">
        <f t="shared" si="68"/>
        <v>1307.999425</v>
      </c>
      <c r="K163" s="197">
        <f t="shared" si="68"/>
        <v>1340.6994106249999</v>
      </c>
      <c r="L163" s="197">
        <f t="shared" si="68"/>
        <v>1374.2168958906248</v>
      </c>
      <c r="M163" s="197">
        <f t="shared" si="68"/>
        <v>1408.5723182878903</v>
      </c>
      <c r="N163" s="197">
        <f t="shared" si="68"/>
        <v>1443.7866262450875</v>
      </c>
      <c r="O163" s="197">
        <f t="shared" si="68"/>
        <v>1479.8812919012146</v>
      </c>
    </row>
    <row r="164" spans="2:15" x14ac:dyDescent="0.55000000000000004">
      <c r="B164" s="66" t="s">
        <v>1224</v>
      </c>
      <c r="C164" s="69"/>
      <c r="D164" s="69"/>
      <c r="E164" s="69"/>
      <c r="F164" s="69"/>
      <c r="G164" s="197">
        <v>-73</v>
      </c>
      <c r="H164" s="197">
        <v>16</v>
      </c>
      <c r="I164" s="191">
        <v>0</v>
      </c>
      <c r="J164" s="191">
        <v>0</v>
      </c>
      <c r="K164" s="191">
        <v>0</v>
      </c>
      <c r="L164" s="191">
        <v>0</v>
      </c>
      <c r="M164" s="191">
        <v>0</v>
      </c>
      <c r="N164" s="191">
        <v>0</v>
      </c>
      <c r="O164" s="191">
        <v>0</v>
      </c>
    </row>
    <row r="165" spans="2:15" x14ac:dyDescent="0.55000000000000004">
      <c r="B165" s="66" t="s">
        <v>1214</v>
      </c>
      <c r="C165" s="69"/>
      <c r="D165" s="69"/>
      <c r="E165" s="69"/>
      <c r="F165" s="69"/>
      <c r="G165" s="197">
        <f t="shared" ref="G165:O165" si="69">G124</f>
        <v>0</v>
      </c>
      <c r="H165" s="197">
        <f t="shared" si="69"/>
        <v>-207.084</v>
      </c>
      <c r="I165" s="197">
        <f t="shared" si="69"/>
        <v>-163</v>
      </c>
      <c r="J165" s="197">
        <f t="shared" si="69"/>
        <v>0</v>
      </c>
      <c r="K165" s="197">
        <f t="shared" si="69"/>
        <v>0</v>
      </c>
      <c r="L165" s="197">
        <f t="shared" si="69"/>
        <v>0</v>
      </c>
      <c r="M165" s="197">
        <f t="shared" si="69"/>
        <v>0</v>
      </c>
      <c r="N165" s="197">
        <f t="shared" si="69"/>
        <v>0</v>
      </c>
      <c r="O165" s="197">
        <f t="shared" si="69"/>
        <v>0</v>
      </c>
    </row>
    <row r="166" spans="2:15" x14ac:dyDescent="0.55000000000000004">
      <c r="B166" s="66" t="s">
        <v>1215</v>
      </c>
      <c r="C166" s="69"/>
      <c r="D166" s="69"/>
      <c r="E166" s="69"/>
      <c r="F166" s="69"/>
      <c r="G166" s="197">
        <f t="shared" ref="G166:O166" si="70">G68</f>
        <v>550.68299999999999</v>
      </c>
      <c r="H166" s="197">
        <f t="shared" si="70"/>
        <v>660.66300000000001</v>
      </c>
      <c r="I166" s="197">
        <f t="shared" si="70"/>
        <v>780</v>
      </c>
      <c r="J166" s="197">
        <f t="shared" si="70"/>
        <v>884.66477220071602</v>
      </c>
      <c r="K166" s="197">
        <f t="shared" si="70"/>
        <v>1000.1692468883191</v>
      </c>
      <c r="L166" s="197">
        <f t="shared" si="70"/>
        <v>1116.8403105721181</v>
      </c>
      <c r="M166" s="197">
        <f t="shared" si="70"/>
        <v>1225.4782254881704</v>
      </c>
      <c r="N166" s="197">
        <f t="shared" si="70"/>
        <v>1312.3349004617619</v>
      </c>
      <c r="O166" s="197">
        <f t="shared" si="70"/>
        <v>1398.0215551452713</v>
      </c>
    </row>
    <row r="167" spans="2:15" x14ac:dyDescent="0.55000000000000004">
      <c r="B167" s="66" t="s">
        <v>1216</v>
      </c>
      <c r="C167" s="69"/>
      <c r="D167" s="69"/>
      <c r="E167" s="69"/>
      <c r="F167" s="69"/>
      <c r="G167" s="197">
        <f t="shared" ref="G167:O167" si="71">G82</f>
        <v>0</v>
      </c>
      <c r="H167" s="197">
        <f t="shared" si="71"/>
        <v>132.31299999999999</v>
      </c>
      <c r="I167" s="197">
        <f t="shared" si="71"/>
        <v>0</v>
      </c>
      <c r="J167" s="197">
        <f t="shared" si="71"/>
        <v>0</v>
      </c>
      <c r="K167" s="197">
        <f t="shared" si="71"/>
        <v>0</v>
      </c>
      <c r="L167" s="197">
        <f t="shared" si="71"/>
        <v>0</v>
      </c>
      <c r="M167" s="197">
        <f t="shared" si="71"/>
        <v>0</v>
      </c>
      <c r="N167" s="197">
        <f t="shared" si="71"/>
        <v>0</v>
      </c>
      <c r="O167" s="197">
        <f t="shared" si="71"/>
        <v>0</v>
      </c>
    </row>
    <row r="168" spans="2:15" x14ac:dyDescent="0.55000000000000004">
      <c r="B168" s="66" t="s">
        <v>1217</v>
      </c>
      <c r="C168" s="69"/>
      <c r="D168" s="69"/>
      <c r="E168" s="69"/>
      <c r="F168" s="69"/>
      <c r="G168" s="197">
        <v>-70</v>
      </c>
      <c r="H168" s="197">
        <v>-86</v>
      </c>
      <c r="I168" s="191">
        <v>0</v>
      </c>
      <c r="J168" s="191">
        <f t="shared" ref="J168:O168" si="72">I168</f>
        <v>0</v>
      </c>
      <c r="K168" s="191">
        <f t="shared" si="72"/>
        <v>0</v>
      </c>
      <c r="L168" s="191">
        <f t="shared" si="72"/>
        <v>0</v>
      </c>
      <c r="M168" s="191">
        <f t="shared" si="72"/>
        <v>0</v>
      </c>
      <c r="N168" s="191">
        <f t="shared" si="72"/>
        <v>0</v>
      </c>
      <c r="O168" s="191">
        <f t="shared" si="72"/>
        <v>0</v>
      </c>
    </row>
    <row r="169" spans="2:15" x14ac:dyDescent="0.55000000000000004">
      <c r="B169" s="66"/>
      <c r="C169" s="69"/>
      <c r="D169" s="69"/>
      <c r="E169" s="69"/>
      <c r="F169" s="69"/>
      <c r="G169" s="191"/>
      <c r="H169" s="191"/>
    </row>
    <row r="170" spans="2:15" x14ac:dyDescent="0.55000000000000004">
      <c r="B170" s="220" t="s">
        <v>1218</v>
      </c>
      <c r="C170" s="69"/>
      <c r="D170" s="69"/>
      <c r="E170" s="69"/>
      <c r="F170" s="69"/>
      <c r="G170" s="191"/>
      <c r="H170" s="191"/>
    </row>
    <row r="171" spans="2:15" x14ac:dyDescent="0.55000000000000004">
      <c r="B171" s="66" t="s">
        <v>1219</v>
      </c>
      <c r="C171" s="69"/>
      <c r="D171" s="69"/>
      <c r="E171" s="69"/>
      <c r="F171" s="69"/>
      <c r="G171" s="69">
        <v>-1499</v>
      </c>
      <c r="H171" s="69">
        <v>-1108</v>
      </c>
    </row>
    <row r="172" spans="2:15" x14ac:dyDescent="0.55000000000000004">
      <c r="B172" s="66" t="s">
        <v>1220</v>
      </c>
      <c r="C172" s="69"/>
      <c r="D172" s="69"/>
      <c r="E172" s="69"/>
      <c r="F172" s="69"/>
      <c r="G172" s="69">
        <v>-6115</v>
      </c>
      <c r="H172" s="69">
        <v>-8586</v>
      </c>
    </row>
    <row r="173" spans="2:15" x14ac:dyDescent="0.55000000000000004">
      <c r="B173" s="66" t="s">
        <v>1221</v>
      </c>
      <c r="C173" s="69"/>
      <c r="D173" s="69"/>
      <c r="E173" s="69"/>
      <c r="F173" s="69"/>
      <c r="G173" s="69">
        <v>6040</v>
      </c>
      <c r="H173" s="69">
        <v>8032</v>
      </c>
    </row>
    <row r="174" spans="2:15" x14ac:dyDescent="0.55000000000000004">
      <c r="B174" s="66" t="s">
        <v>1222</v>
      </c>
      <c r="C174" s="69"/>
      <c r="D174" s="69"/>
      <c r="E174" s="69"/>
      <c r="F174" s="69"/>
      <c r="G174" s="69">
        <v>1061</v>
      </c>
      <c r="H174" s="69">
        <v>1257</v>
      </c>
    </row>
    <row r="175" spans="2:15" x14ac:dyDescent="0.55000000000000004">
      <c r="B175" s="66" t="s">
        <v>1223</v>
      </c>
      <c r="C175" s="69"/>
      <c r="D175" s="69"/>
      <c r="E175" s="69"/>
      <c r="F175" s="69"/>
      <c r="G175" s="69">
        <v>208</v>
      </c>
      <c r="H175" s="69">
        <v>-454</v>
      </c>
    </row>
    <row r="176" spans="2:15" x14ac:dyDescent="0.55000000000000004">
      <c r="B176" s="87" t="s">
        <v>321</v>
      </c>
      <c r="C176" s="88"/>
      <c r="D176" s="88"/>
      <c r="E176" s="88"/>
      <c r="F176" s="88"/>
      <c r="G176" s="88">
        <v>-370</v>
      </c>
      <c r="H176" s="88">
        <v>-380</v>
      </c>
      <c r="I176" s="90"/>
      <c r="J176" s="90"/>
      <c r="K176" s="90"/>
      <c r="L176" s="90"/>
      <c r="M176" s="90"/>
      <c r="N176" s="90"/>
      <c r="O176" s="90"/>
    </row>
    <row r="177" spans="2:15" x14ac:dyDescent="0.55000000000000004">
      <c r="B177" s="66" t="s">
        <v>1218</v>
      </c>
      <c r="C177" s="69"/>
      <c r="D177" s="69"/>
      <c r="E177" s="69"/>
      <c r="F177" s="69"/>
      <c r="G177" s="69">
        <f>SUM(G171:G176)</f>
        <v>-675</v>
      </c>
      <c r="H177" s="69">
        <f>SUM(H171:H176)</f>
        <v>-1239</v>
      </c>
      <c r="I177" s="191">
        <v>-1350</v>
      </c>
      <c r="J177" s="191">
        <f t="shared" ref="J177:O177" si="73">I177*1.05</f>
        <v>-1417.5</v>
      </c>
      <c r="K177" s="191">
        <f t="shared" si="73"/>
        <v>-1488.375</v>
      </c>
      <c r="L177" s="191">
        <f t="shared" si="73"/>
        <v>-1562.79375</v>
      </c>
      <c r="M177" s="191">
        <f t="shared" si="73"/>
        <v>-1640.9334375000001</v>
      </c>
      <c r="N177" s="191">
        <f t="shared" si="73"/>
        <v>-1722.9801093750002</v>
      </c>
      <c r="O177" s="191">
        <f t="shared" si="73"/>
        <v>-1809.1291148437504</v>
      </c>
    </row>
    <row r="178" spans="2:15" x14ac:dyDescent="0.55000000000000004">
      <c r="B178" s="183" t="s">
        <v>1237</v>
      </c>
      <c r="C178" s="69"/>
      <c r="D178" s="69"/>
      <c r="E178" s="69"/>
      <c r="F178" s="69"/>
      <c r="G178" s="69">
        <f>G171+G174+G175</f>
        <v>-230</v>
      </c>
      <c r="H178" s="69">
        <f>H171+H174+H175</f>
        <v>-305</v>
      </c>
      <c r="I178" s="69">
        <f>H178</f>
        <v>-305</v>
      </c>
      <c r="J178" s="69">
        <f t="shared" ref="J178:O178" si="74">I178</f>
        <v>-305</v>
      </c>
      <c r="K178" s="69">
        <f t="shared" si="74"/>
        <v>-305</v>
      </c>
      <c r="L178" s="69">
        <f t="shared" si="74"/>
        <v>-305</v>
      </c>
      <c r="M178" s="69">
        <f t="shared" si="74"/>
        <v>-305</v>
      </c>
      <c r="N178" s="69">
        <f t="shared" si="74"/>
        <v>-305</v>
      </c>
      <c r="O178" s="69">
        <f t="shared" si="74"/>
        <v>-305</v>
      </c>
    </row>
    <row r="179" spans="2:15" x14ac:dyDescent="0.55000000000000004">
      <c r="B179" s="183" t="s">
        <v>1147</v>
      </c>
      <c r="C179" s="69"/>
      <c r="D179" s="69"/>
      <c r="E179" s="69"/>
      <c r="F179" s="69"/>
      <c r="G179" s="69">
        <f>G177-G178</f>
        <v>-445</v>
      </c>
      <c r="H179" s="69">
        <f>H177-H178</f>
        <v>-934</v>
      </c>
      <c r="I179" s="69">
        <f>I177-I178</f>
        <v>-1045</v>
      </c>
      <c r="J179" s="69">
        <f t="shared" ref="J179:O179" si="75">J177-J178</f>
        <v>-1112.5</v>
      </c>
      <c r="K179" s="69">
        <f t="shared" si="75"/>
        <v>-1183.375</v>
      </c>
      <c r="L179" s="69">
        <f t="shared" si="75"/>
        <v>-1257.79375</v>
      </c>
      <c r="M179" s="69">
        <f t="shared" si="75"/>
        <v>-1335.9334375000001</v>
      </c>
      <c r="N179" s="69">
        <f t="shared" si="75"/>
        <v>-1417.9801093750002</v>
      </c>
      <c r="O179" s="69">
        <f t="shared" si="75"/>
        <v>-1504.1291148437504</v>
      </c>
    </row>
    <row r="180" spans="2:15" x14ac:dyDescent="0.55000000000000004">
      <c r="B180" s="183"/>
      <c r="C180" s="69"/>
      <c r="D180" s="69"/>
      <c r="E180" s="69"/>
      <c r="F180" s="69"/>
      <c r="G180" s="69"/>
      <c r="H180" s="69"/>
    </row>
    <row r="181" spans="2:15" x14ac:dyDescent="0.55000000000000004">
      <c r="B181" s="66" t="s">
        <v>1206</v>
      </c>
      <c r="C181" s="69"/>
      <c r="D181" s="69"/>
      <c r="E181" s="69"/>
      <c r="F181" s="69"/>
      <c r="G181" s="69">
        <f>SUM(G159:G168)+G177</f>
        <v>127.49000000000001</v>
      </c>
      <c r="H181" s="69">
        <f>SUM(H159:H168)+H177</f>
        <v>100.42499999999973</v>
      </c>
      <c r="I181" s="69">
        <f t="shared" ref="I181:O181" si="76">SUM(I159:I168)+I177</f>
        <v>1536.0738967414381</v>
      </c>
      <c r="J181" s="69">
        <f t="shared" si="76"/>
        <v>2268.983570310525</v>
      </c>
      <c r="K181" s="69">
        <f t="shared" si="76"/>
        <v>3032.7134825384401</v>
      </c>
      <c r="L181" s="69">
        <f t="shared" si="76"/>
        <v>3496.7532833851319</v>
      </c>
      <c r="M181" s="69">
        <f t="shared" si="76"/>
        <v>4051.291014426507</v>
      </c>
      <c r="N181" s="69">
        <f t="shared" si="76"/>
        <v>4414.6665370398532</v>
      </c>
      <c r="O181" s="69">
        <f t="shared" si="76"/>
        <v>4728.2500225618342</v>
      </c>
    </row>
    <row r="182" spans="2:15" x14ac:dyDescent="0.55000000000000004">
      <c r="B182" s="66"/>
      <c r="C182" s="69"/>
      <c r="D182" s="69"/>
      <c r="E182" s="69"/>
      <c r="F182" s="69"/>
      <c r="G182" s="69"/>
      <c r="H182" s="69"/>
      <c r="I182" s="69"/>
      <c r="J182" s="69"/>
      <c r="K182" s="69"/>
      <c r="L182" s="69"/>
      <c r="M182" s="69"/>
      <c r="N182" s="69"/>
      <c r="O182" s="69"/>
    </row>
    <row r="183" spans="2:15" x14ac:dyDescent="0.55000000000000004">
      <c r="B183" s="66" t="s">
        <v>1233</v>
      </c>
      <c r="C183" s="69"/>
      <c r="D183" s="69"/>
      <c r="E183" s="69"/>
      <c r="F183" s="69"/>
      <c r="G183" s="69"/>
      <c r="H183" s="69">
        <v>-23969</v>
      </c>
      <c r="I183" s="69"/>
      <c r="J183" s="69"/>
      <c r="K183" s="69"/>
      <c r="L183" s="69"/>
      <c r="M183" s="69"/>
      <c r="N183" s="69"/>
      <c r="O183" s="69"/>
    </row>
    <row r="184" spans="2:15" x14ac:dyDescent="0.55000000000000004">
      <c r="B184" s="66" t="s">
        <v>1234</v>
      </c>
      <c r="C184" s="69"/>
      <c r="D184" s="69"/>
      <c r="E184" s="69"/>
      <c r="F184" s="69"/>
      <c r="G184" s="69"/>
      <c r="H184" s="69">
        <v>24242</v>
      </c>
      <c r="I184" s="69"/>
      <c r="J184" s="69"/>
      <c r="K184" s="69"/>
      <c r="L184" s="69"/>
      <c r="M184" s="69"/>
      <c r="N184" s="69"/>
      <c r="O184" s="69"/>
    </row>
    <row r="185" spans="2:15" x14ac:dyDescent="0.55000000000000004">
      <c r="B185" s="87" t="s">
        <v>1235</v>
      </c>
      <c r="C185" s="88"/>
      <c r="D185" s="88"/>
      <c r="E185" s="88"/>
      <c r="F185" s="88"/>
      <c r="G185" s="88"/>
      <c r="H185" s="88">
        <v>-14</v>
      </c>
      <c r="I185" s="88"/>
      <c r="J185" s="88"/>
      <c r="K185" s="88"/>
      <c r="L185" s="88"/>
      <c r="M185" s="88"/>
      <c r="N185" s="88"/>
      <c r="O185" s="88"/>
    </row>
    <row r="186" spans="2:15" x14ac:dyDescent="0.55000000000000004">
      <c r="B186" s="66" t="s">
        <v>1238</v>
      </c>
      <c r="C186" s="69"/>
      <c r="D186" s="69"/>
      <c r="E186" s="69"/>
      <c r="F186" s="69"/>
      <c r="G186" s="69"/>
      <c r="H186" s="69">
        <f>SUM(H183:H185)</f>
        <v>259</v>
      </c>
      <c r="I186" s="191">
        <f>H186</f>
        <v>259</v>
      </c>
      <c r="J186" s="191">
        <f t="shared" ref="J186:O186" si="77">I186</f>
        <v>259</v>
      </c>
      <c r="K186" s="191">
        <f t="shared" si="77"/>
        <v>259</v>
      </c>
      <c r="L186" s="191">
        <f t="shared" si="77"/>
        <v>259</v>
      </c>
      <c r="M186" s="191">
        <f t="shared" si="77"/>
        <v>259</v>
      </c>
      <c r="N186" s="191">
        <f t="shared" si="77"/>
        <v>259</v>
      </c>
      <c r="O186" s="191">
        <f t="shared" si="77"/>
        <v>259</v>
      </c>
    </row>
    <row r="187" spans="2:15" x14ac:dyDescent="0.55000000000000004">
      <c r="B187" s="66"/>
      <c r="C187" s="69"/>
      <c r="D187" s="69"/>
      <c r="E187" s="69"/>
      <c r="F187" s="69"/>
      <c r="G187" s="69"/>
      <c r="H187" s="69"/>
      <c r="I187" s="69"/>
      <c r="J187" s="69"/>
      <c r="K187" s="69"/>
      <c r="L187" s="69"/>
      <c r="M187" s="69"/>
      <c r="N187" s="69"/>
      <c r="O187" s="69"/>
    </row>
    <row r="188" spans="2:15" x14ac:dyDescent="0.55000000000000004">
      <c r="B188" s="66" t="s">
        <v>1226</v>
      </c>
      <c r="C188" s="69"/>
      <c r="D188" s="69"/>
      <c r="E188" s="69"/>
      <c r="F188" s="69"/>
      <c r="G188" s="69">
        <v>171</v>
      </c>
      <c r="H188" s="69">
        <v>151</v>
      </c>
      <c r="I188" s="69">
        <f t="shared" ref="I188:O188" si="78">I189*I54</f>
        <v>160.15336089435951</v>
      </c>
      <c r="J188" s="69">
        <f t="shared" si="78"/>
        <v>182.97898463790503</v>
      </c>
      <c r="K188" s="69">
        <f t="shared" si="78"/>
        <v>207.09778640967167</v>
      </c>
      <c r="L188" s="69">
        <f t="shared" si="78"/>
        <v>231.18445153111941</v>
      </c>
      <c r="M188" s="69">
        <f t="shared" si="78"/>
        <v>254.49940088848987</v>
      </c>
      <c r="N188" s="69">
        <f t="shared" si="78"/>
        <v>273.6320664758955</v>
      </c>
      <c r="O188" s="69">
        <f t="shared" si="78"/>
        <v>292.21531350173228</v>
      </c>
    </row>
    <row r="189" spans="2:15" x14ac:dyDescent="0.55000000000000004">
      <c r="B189" s="66" t="s">
        <v>709</v>
      </c>
      <c r="C189" s="69"/>
      <c r="D189" s="69"/>
      <c r="E189" s="69"/>
      <c r="F189" s="69"/>
      <c r="G189" s="171">
        <f>G188/G54</f>
        <v>2.8538565114324493E-2</v>
      </c>
      <c r="H189" s="171">
        <f>H188/H54</f>
        <v>2.0120225676978968E-2</v>
      </c>
      <c r="I189" s="138">
        <v>1.7999999999999999E-2</v>
      </c>
      <c r="J189" s="138">
        <v>1.7999999999999999E-2</v>
      </c>
      <c r="K189" s="138">
        <v>1.7999999999999999E-2</v>
      </c>
      <c r="L189" s="138">
        <v>1.7999999999999999E-2</v>
      </c>
      <c r="M189" s="138">
        <v>1.7999999999999999E-2</v>
      </c>
      <c r="N189" s="138">
        <v>1.7999999999999999E-2</v>
      </c>
      <c r="O189" s="138">
        <v>1.7999999999999999E-2</v>
      </c>
    </row>
    <row r="190" spans="2:15" x14ac:dyDescent="0.55000000000000004">
      <c r="B190" s="87"/>
      <c r="C190" s="88"/>
      <c r="D190" s="88"/>
      <c r="E190" s="88"/>
      <c r="F190" s="88"/>
      <c r="G190" s="258"/>
      <c r="H190" s="258"/>
      <c r="I190" s="358"/>
      <c r="J190" s="358"/>
      <c r="K190" s="358"/>
      <c r="L190" s="358"/>
      <c r="M190" s="358"/>
      <c r="N190" s="358"/>
      <c r="O190" s="358"/>
    </row>
    <row r="191" spans="2:15" x14ac:dyDescent="0.55000000000000004">
      <c r="B191" s="67" t="s">
        <v>1236</v>
      </c>
      <c r="C191" s="86"/>
      <c r="D191" s="86"/>
      <c r="E191" s="86"/>
      <c r="F191" s="86"/>
      <c r="G191" s="86">
        <f>G181-G178+G183+G184+G185-G188</f>
        <v>186.49</v>
      </c>
      <c r="H191" s="86">
        <f>H181-H178+H186-H188</f>
        <v>513.42499999999973</v>
      </c>
      <c r="I191" s="86">
        <f t="shared" ref="I191:O191" si="79">I181-I178+I186-I188</f>
        <v>1939.9205358470786</v>
      </c>
      <c r="J191" s="86">
        <f t="shared" si="79"/>
        <v>2650.0045856726201</v>
      </c>
      <c r="K191" s="86">
        <f t="shared" si="79"/>
        <v>3389.6156961287684</v>
      </c>
      <c r="L191" s="86">
        <f t="shared" si="79"/>
        <v>3829.5688318540124</v>
      </c>
      <c r="M191" s="86">
        <f t="shared" si="79"/>
        <v>4360.7916135380174</v>
      </c>
      <c r="N191" s="86">
        <f t="shared" si="79"/>
        <v>4705.0344705639582</v>
      </c>
      <c r="O191" s="86">
        <f t="shared" si="79"/>
        <v>5000.0347090601017</v>
      </c>
    </row>
    <row r="192" spans="2:15" x14ac:dyDescent="0.55000000000000004">
      <c r="B192" s="66" t="s">
        <v>1227</v>
      </c>
      <c r="C192" s="69"/>
      <c r="D192" s="69"/>
      <c r="E192" s="69"/>
      <c r="F192" s="69"/>
      <c r="G192" s="195">
        <f>G191-G113</f>
        <v>727.23699999999997</v>
      </c>
      <c r="H192" s="195">
        <f>H191-H113</f>
        <v>503.65299999999974</v>
      </c>
      <c r="I192" s="195">
        <f t="shared" ref="I192:O192" si="80">I191-I113</f>
        <v>538.71008603441692</v>
      </c>
      <c r="J192" s="195">
        <f t="shared" si="80"/>
        <v>950.35616989032519</v>
      </c>
      <c r="K192" s="195">
        <f t="shared" si="80"/>
        <v>1075.8135000194025</v>
      </c>
      <c r="L192" s="195">
        <f t="shared" si="80"/>
        <v>1199.9165369625107</v>
      </c>
      <c r="M192" s="195">
        <f t="shared" si="80"/>
        <v>1312.0071106333762</v>
      </c>
      <c r="N192" s="195">
        <f t="shared" si="80"/>
        <v>1392.1225806501093</v>
      </c>
      <c r="O192" s="195">
        <f t="shared" si="80"/>
        <v>1467.1731869349819</v>
      </c>
    </row>
    <row r="193" spans="1:15" x14ac:dyDescent="0.55000000000000004">
      <c r="B193" s="66"/>
      <c r="C193" s="69"/>
      <c r="D193" s="69"/>
      <c r="E193" s="69"/>
      <c r="F193" s="69"/>
      <c r="G193" s="69"/>
      <c r="H193" s="69"/>
    </row>
    <row r="194" spans="1:15" x14ac:dyDescent="0.55000000000000004">
      <c r="B194" s="67" t="s">
        <v>541</v>
      </c>
      <c r="C194" s="69"/>
      <c r="D194" s="69"/>
      <c r="E194" s="69"/>
      <c r="F194" s="69"/>
      <c r="G194" s="69"/>
      <c r="H194" s="69"/>
    </row>
    <row r="195" spans="1:15" x14ac:dyDescent="0.55000000000000004">
      <c r="B195" s="66"/>
      <c r="C195" s="69"/>
      <c r="D195" s="69"/>
      <c r="E195" s="69"/>
      <c r="F195" s="69"/>
      <c r="G195" s="69"/>
      <c r="H195" s="69"/>
    </row>
    <row r="196" spans="1:15" x14ac:dyDescent="0.55000000000000004">
      <c r="B196" s="66" t="s">
        <v>694</v>
      </c>
      <c r="C196" s="69"/>
      <c r="D196" s="69"/>
      <c r="E196" s="69"/>
      <c r="F196" s="69"/>
      <c r="G196" s="69">
        <v>4109</v>
      </c>
      <c r="H196" s="69">
        <v>4120</v>
      </c>
    </row>
    <row r="197" spans="1:15" x14ac:dyDescent="0.55000000000000004">
      <c r="B197" s="66" t="s">
        <v>697</v>
      </c>
      <c r="C197" s="69"/>
      <c r="D197" s="69"/>
      <c r="E197" s="69"/>
      <c r="F197" s="69"/>
      <c r="G197" s="69">
        <v>877</v>
      </c>
      <c r="H197" s="69">
        <v>855</v>
      </c>
    </row>
    <row r="198" spans="1:15" x14ac:dyDescent="0.55000000000000004">
      <c r="B198" s="87" t="s">
        <v>698</v>
      </c>
      <c r="C198" s="88"/>
      <c r="D198" s="88"/>
      <c r="E198" s="88"/>
      <c r="F198" s="88"/>
      <c r="G198" s="88">
        <v>461</v>
      </c>
      <c r="H198" s="88">
        <v>753</v>
      </c>
      <c r="I198" s="90"/>
      <c r="J198" s="90"/>
      <c r="K198" s="90"/>
      <c r="L198" s="90"/>
      <c r="M198" s="90"/>
      <c r="N198" s="90"/>
      <c r="O198" s="90"/>
    </row>
    <row r="199" spans="1:15" x14ac:dyDescent="0.55000000000000004">
      <c r="B199" s="66" t="s">
        <v>277</v>
      </c>
      <c r="C199" s="69"/>
      <c r="D199" s="69"/>
      <c r="E199" s="69"/>
      <c r="F199" s="69"/>
      <c r="G199" s="69">
        <f>SUM(G196:G198)</f>
        <v>5447</v>
      </c>
      <c r="H199" s="69">
        <f>SUM(H196:H198)</f>
        <v>5728</v>
      </c>
    </row>
    <row r="200" spans="1:15" x14ac:dyDescent="0.55000000000000004">
      <c r="B200" s="66"/>
      <c r="C200" s="69"/>
      <c r="D200" s="69"/>
      <c r="E200" s="69"/>
      <c r="F200" s="69"/>
      <c r="G200" s="69"/>
      <c r="H200" s="69"/>
    </row>
    <row r="201" spans="1:15" x14ac:dyDescent="0.55000000000000004">
      <c r="B201" s="66" t="s">
        <v>699</v>
      </c>
      <c r="C201" s="69"/>
      <c r="D201" s="69"/>
      <c r="E201" s="69"/>
      <c r="F201" s="69"/>
      <c r="G201" s="69">
        <v>4544</v>
      </c>
      <c r="H201" s="69">
        <v>4996</v>
      </c>
    </row>
    <row r="202" spans="1:15" x14ac:dyDescent="0.55000000000000004">
      <c r="B202" s="87" t="s">
        <v>696</v>
      </c>
      <c r="C202" s="88"/>
      <c r="D202" s="88"/>
      <c r="E202" s="88"/>
      <c r="F202" s="88"/>
      <c r="G202" s="88">
        <v>1081</v>
      </c>
      <c r="H202" s="88">
        <v>852</v>
      </c>
      <c r="I202" s="90"/>
      <c r="J202" s="90"/>
      <c r="K202" s="90"/>
      <c r="L202" s="90"/>
      <c r="M202" s="90"/>
      <c r="N202" s="90"/>
      <c r="O202" s="90"/>
    </row>
    <row r="203" spans="1:15" x14ac:dyDescent="0.55000000000000004">
      <c r="B203" s="66" t="s">
        <v>695</v>
      </c>
      <c r="C203" s="69"/>
      <c r="D203" s="69"/>
      <c r="E203" s="69"/>
      <c r="F203" s="69"/>
      <c r="G203" s="69">
        <f>G201-G202</f>
        <v>3463</v>
      </c>
      <c r="H203" s="69">
        <f>H201-H202</f>
        <v>4144</v>
      </c>
    </row>
    <row r="204" spans="1:15" x14ac:dyDescent="0.55000000000000004">
      <c r="B204" s="66"/>
      <c r="C204" s="69"/>
      <c r="D204" s="69"/>
      <c r="E204" s="69"/>
      <c r="F204" s="69"/>
      <c r="G204" s="69"/>
      <c r="H204" s="69"/>
    </row>
    <row r="205" spans="1:15" x14ac:dyDescent="0.55000000000000004">
      <c r="B205" s="66" t="s">
        <v>636</v>
      </c>
      <c r="C205" s="69"/>
      <c r="D205" s="69"/>
      <c r="E205" s="69"/>
      <c r="F205" s="69"/>
      <c r="G205" s="69">
        <f>G199-G203</f>
        <v>1984</v>
      </c>
      <c r="H205" s="69">
        <f>H199-H203</f>
        <v>1584</v>
      </c>
      <c r="I205" s="69">
        <f>H205-I191+I146</f>
        <v>1204.0794641529214</v>
      </c>
      <c r="J205" s="69">
        <f t="shared" ref="J205:O205" si="81">I205-J191+J146</f>
        <v>504.07487848030132</v>
      </c>
      <c r="K205" s="69">
        <f t="shared" si="81"/>
        <v>-285.54081764846705</v>
      </c>
      <c r="L205" s="69">
        <f t="shared" si="81"/>
        <v>-1190.1096495024794</v>
      </c>
      <c r="M205" s="69">
        <f t="shared" si="81"/>
        <v>-2300.9012630404968</v>
      </c>
      <c r="N205" s="69">
        <f t="shared" si="81"/>
        <v>-3755.935733604455</v>
      </c>
      <c r="O205" s="69">
        <f t="shared" si="81"/>
        <v>-5505.9704426645567</v>
      </c>
    </row>
    <row r="206" spans="1:15" x14ac:dyDescent="0.55000000000000004">
      <c r="B206" s="66"/>
      <c r="C206" s="69"/>
      <c r="D206" s="69"/>
      <c r="E206" s="69"/>
      <c r="F206" s="69"/>
      <c r="G206" s="69"/>
      <c r="H206" s="69"/>
    </row>
    <row r="207" spans="1:15" x14ac:dyDescent="0.55000000000000004">
      <c r="A207" s="66"/>
      <c r="B207" s="344" t="s">
        <v>239</v>
      </c>
      <c r="C207" s="345"/>
      <c r="D207" s="345"/>
      <c r="E207" s="345"/>
      <c r="F207" s="345"/>
      <c r="G207" s="345"/>
      <c r="H207" s="345"/>
      <c r="I207" s="346"/>
      <c r="J207" s="346"/>
      <c r="K207" s="346"/>
      <c r="L207" s="346"/>
      <c r="M207" s="346"/>
      <c r="N207" s="346"/>
      <c r="O207" s="346"/>
    </row>
    <row r="208" spans="1:15" x14ac:dyDescent="0.55000000000000004">
      <c r="A208" s="66"/>
      <c r="B208" s="66"/>
      <c r="C208" s="69"/>
      <c r="D208" s="69"/>
      <c r="E208" s="69"/>
      <c r="F208" s="69"/>
      <c r="G208" s="69"/>
      <c r="H208" s="69"/>
      <c r="I208" s="66"/>
      <c r="J208" s="66"/>
      <c r="K208" s="66"/>
      <c r="L208" s="66"/>
      <c r="M208" s="66"/>
      <c r="N208" s="66"/>
      <c r="O208" s="66"/>
    </row>
    <row r="209" spans="1:15" x14ac:dyDescent="0.55000000000000004">
      <c r="A209" s="66"/>
      <c r="B209" s="188" t="s">
        <v>162</v>
      </c>
      <c r="C209" s="188">
        <f t="shared" ref="C209:O209" si="82">C2</f>
        <v>2018</v>
      </c>
      <c r="D209" s="188">
        <f t="shared" si="82"/>
        <v>2019</v>
      </c>
      <c r="E209" s="188">
        <f t="shared" si="82"/>
        <v>2020</v>
      </c>
      <c r="F209" s="188">
        <f t="shared" si="82"/>
        <v>2021</v>
      </c>
      <c r="G209" s="188">
        <f t="shared" si="82"/>
        <v>2022</v>
      </c>
      <c r="H209" s="188">
        <f t="shared" si="82"/>
        <v>2023</v>
      </c>
      <c r="I209" s="188">
        <f t="shared" si="82"/>
        <v>2024</v>
      </c>
      <c r="J209" s="188">
        <f t="shared" si="82"/>
        <v>2025</v>
      </c>
      <c r="K209" s="188">
        <f t="shared" si="82"/>
        <v>2026</v>
      </c>
      <c r="L209" s="188">
        <f t="shared" si="82"/>
        <v>2027</v>
      </c>
      <c r="M209" s="188">
        <f t="shared" si="82"/>
        <v>2028</v>
      </c>
      <c r="N209" s="188">
        <f t="shared" si="82"/>
        <v>2029</v>
      </c>
      <c r="O209" s="188">
        <f t="shared" si="82"/>
        <v>2030</v>
      </c>
    </row>
    <row r="210" spans="1:15" x14ac:dyDescent="0.55000000000000004">
      <c r="A210" s="66"/>
      <c r="B210" s="66"/>
      <c r="C210" s="69"/>
      <c r="D210" s="69"/>
      <c r="E210" s="69"/>
      <c r="F210" s="69"/>
      <c r="G210" s="69"/>
      <c r="H210" s="69"/>
      <c r="I210" s="66"/>
      <c r="J210" s="66"/>
      <c r="K210" s="66"/>
      <c r="L210" s="66"/>
      <c r="M210" s="66"/>
      <c r="N210" s="66"/>
      <c r="O210" s="66"/>
    </row>
    <row r="211" spans="1:15" x14ac:dyDescent="0.55000000000000004">
      <c r="A211" s="66"/>
      <c r="B211" s="66" t="s">
        <v>457</v>
      </c>
      <c r="C211" s="69">
        <v>84.653999999999996</v>
      </c>
      <c r="D211" s="69">
        <v>106.239</v>
      </c>
      <c r="E211" s="69">
        <v>112.295</v>
      </c>
      <c r="F211" s="69">
        <v>152.80000000000001</v>
      </c>
      <c r="G211" s="69">
        <f>'Op Metrics - feeder'!AX41/1000</f>
        <v>186.46</v>
      </c>
      <c r="H211" s="69">
        <f>'Op Metrics - feeder'!AY41/1000</f>
        <v>209.60317865399998</v>
      </c>
      <c r="I211" s="140">
        <f>(1+I212)*H211</f>
        <v>230.56349651939999</v>
      </c>
      <c r="J211" s="140">
        <f t="shared" ref="J211:O211" si="83">(1+J212)*I211</f>
        <v>255.92548113653402</v>
      </c>
      <c r="K211" s="140">
        <f t="shared" si="83"/>
        <v>291.75504849564879</v>
      </c>
      <c r="L211" s="140">
        <f t="shared" si="83"/>
        <v>326.76565431512665</v>
      </c>
      <c r="M211" s="140">
        <f t="shared" si="83"/>
        <v>356.17456320348811</v>
      </c>
      <c r="N211" s="140">
        <f t="shared" si="83"/>
        <v>384.66852825976719</v>
      </c>
      <c r="O211" s="140">
        <f t="shared" si="83"/>
        <v>415.44201052054859</v>
      </c>
    </row>
    <row r="212" spans="1:15" x14ac:dyDescent="0.55000000000000004">
      <c r="A212" s="66"/>
      <c r="B212" s="66" t="s">
        <v>243</v>
      </c>
      <c r="C212" s="69"/>
      <c r="D212" s="69"/>
      <c r="E212" s="69"/>
      <c r="F212" s="69"/>
      <c r="G212" s="69"/>
      <c r="H212" s="134">
        <f>H211/G211-1</f>
        <v>0.12411873138474716</v>
      </c>
      <c r="I212" s="139">
        <v>0.1</v>
      </c>
      <c r="J212" s="139">
        <v>0.11</v>
      </c>
      <c r="K212" s="139">
        <v>0.14000000000000001</v>
      </c>
      <c r="L212" s="139">
        <v>0.12</v>
      </c>
      <c r="M212" s="139">
        <v>0.09</v>
      </c>
      <c r="N212" s="139">
        <v>0.08</v>
      </c>
      <c r="O212" s="139">
        <v>0.08</v>
      </c>
    </row>
    <row r="213" spans="1:15" x14ac:dyDescent="0.55000000000000004">
      <c r="A213" s="66"/>
      <c r="B213" s="66"/>
      <c r="C213" s="69"/>
      <c r="D213" s="69"/>
      <c r="E213" s="69"/>
      <c r="F213" s="69"/>
      <c r="G213" s="69"/>
      <c r="H213" s="69"/>
      <c r="I213" s="66"/>
      <c r="J213" s="66"/>
      <c r="K213" s="66"/>
      <c r="L213" s="66"/>
      <c r="M213" s="66"/>
      <c r="N213" s="66"/>
      <c r="O213" s="66"/>
    </row>
    <row r="214" spans="1:15" x14ac:dyDescent="0.55000000000000004">
      <c r="A214" s="66"/>
      <c r="B214" s="66" t="s">
        <v>90</v>
      </c>
      <c r="C214" s="69"/>
      <c r="D214" s="69"/>
      <c r="E214" s="69"/>
      <c r="F214" s="69"/>
      <c r="G214" s="69">
        <f>G11</f>
        <v>6294.1369999999997</v>
      </c>
      <c r="H214" s="69">
        <f>H11</f>
        <v>7033.384</v>
      </c>
      <c r="I214" s="69">
        <f>I216*I211*1000</f>
        <v>7816.1025320076587</v>
      </c>
      <c r="J214" s="69">
        <f t="shared" ref="J214:O214" si="84">J216*J211*1000</f>
        <v>8675.8738105285029</v>
      </c>
      <c r="K214" s="69">
        <f t="shared" si="84"/>
        <v>9744.6186197546704</v>
      </c>
      <c r="L214" s="69">
        <f t="shared" si="84"/>
        <v>10750.590026967666</v>
      </c>
      <c r="M214" s="69">
        <f t="shared" si="84"/>
        <v>11540.055847793014</v>
      </c>
      <c r="N214" s="69">
        <f t="shared" si="84"/>
        <v>12078.591787356689</v>
      </c>
      <c r="O214" s="69">
        <f t="shared" si="84"/>
        <v>12629.437119824675</v>
      </c>
    </row>
    <row r="215" spans="1:15" x14ac:dyDescent="0.55000000000000004">
      <c r="A215" s="66"/>
      <c r="B215" s="66" t="s">
        <v>430</v>
      </c>
      <c r="C215" s="69"/>
      <c r="D215" s="69"/>
      <c r="E215" s="69"/>
      <c r="F215" s="69"/>
      <c r="G215" s="69"/>
      <c r="H215" s="134">
        <f>H214/G214-1</f>
        <v>0.1174500968123191</v>
      </c>
      <c r="I215" s="134">
        <f t="shared" ref="I215:O215" si="85">I214/H214-1</f>
        <v>0.11128619338964829</v>
      </c>
      <c r="J215" s="134">
        <f t="shared" si="85"/>
        <v>0.11000000000000032</v>
      </c>
      <c r="K215" s="134">
        <f t="shared" si="85"/>
        <v>0.12318584070796468</v>
      </c>
      <c r="L215" s="134">
        <f t="shared" si="85"/>
        <v>0.10323353293413162</v>
      </c>
      <c r="M215" s="134">
        <f t="shared" si="85"/>
        <v>7.343465045592712E-2</v>
      </c>
      <c r="N215" s="134">
        <f t="shared" si="85"/>
        <v>4.6666666666666856E-2</v>
      </c>
      <c r="O215" s="134">
        <f t="shared" si="85"/>
        <v>4.5605095541401353E-2</v>
      </c>
    </row>
    <row r="216" spans="1:15" x14ac:dyDescent="0.55000000000000004">
      <c r="A216" s="66"/>
      <c r="B216" s="66" t="s">
        <v>241</v>
      </c>
      <c r="C216" s="69"/>
      <c r="D216" s="69"/>
      <c r="E216" s="69"/>
      <c r="F216" s="69"/>
      <c r="G216" s="135">
        <f>G214/(G211*1000)</f>
        <v>3.3755963745575455E-2</v>
      </c>
      <c r="H216" s="135">
        <f>H214/(H211*1000)</f>
        <v>3.35557124904593E-2</v>
      </c>
      <c r="I216" s="137">
        <v>3.39E-2</v>
      </c>
      <c r="J216" s="137">
        <f>I216</f>
        <v>3.39E-2</v>
      </c>
      <c r="K216" s="137">
        <f>J216-0.05%</f>
        <v>3.3399999999999999E-2</v>
      </c>
      <c r="L216" s="137">
        <f>K216-0.05%</f>
        <v>3.2899999999999999E-2</v>
      </c>
      <c r="M216" s="137">
        <f>L216-0.05%</f>
        <v>3.2399999999999998E-2</v>
      </c>
      <c r="N216" s="137">
        <f>M216-0.1%</f>
        <v>3.1399999999999997E-2</v>
      </c>
      <c r="O216" s="137">
        <f>N216-0.1%</f>
        <v>3.0399999999999996E-2</v>
      </c>
    </row>
    <row r="217" spans="1:15" x14ac:dyDescent="0.55000000000000004">
      <c r="A217" s="66"/>
      <c r="B217" s="66"/>
      <c r="C217" s="69"/>
      <c r="D217" s="69"/>
      <c r="E217" s="69"/>
      <c r="F217" s="69"/>
      <c r="G217" s="69"/>
      <c r="H217" s="69"/>
      <c r="I217" s="66"/>
      <c r="J217" s="66"/>
      <c r="K217" s="66"/>
      <c r="L217" s="66"/>
      <c r="M217" s="66"/>
      <c r="N217" s="66"/>
      <c r="O217" s="66"/>
    </row>
    <row r="218" spans="1:15" x14ac:dyDescent="0.55000000000000004">
      <c r="A218" s="66"/>
      <c r="B218" s="66" t="s">
        <v>244</v>
      </c>
      <c r="C218" s="69"/>
      <c r="D218" s="69"/>
      <c r="E218" s="69"/>
      <c r="F218" s="69"/>
      <c r="G218" s="69">
        <f>G214-G221</f>
        <v>3587.2359999999999</v>
      </c>
      <c r="H218" s="69">
        <f>H214-H221</f>
        <v>3904.73</v>
      </c>
      <c r="I218" s="69">
        <f>I219*I214</f>
        <v>4212.8792647521286</v>
      </c>
      <c r="J218" s="69">
        <f t="shared" ref="J218:O218" si="86">J219*J214</f>
        <v>4632.9166148222212</v>
      </c>
      <c r="K218" s="69">
        <f t="shared" si="86"/>
        <v>5164.6478684699759</v>
      </c>
      <c r="L218" s="69">
        <f t="shared" si="86"/>
        <v>5697.8127142928633</v>
      </c>
      <c r="M218" s="69">
        <f t="shared" si="86"/>
        <v>6116.2295993302978</v>
      </c>
      <c r="N218" s="69">
        <f t="shared" si="86"/>
        <v>6401.6536472990456</v>
      </c>
      <c r="O218" s="69">
        <f t="shared" si="86"/>
        <v>6693.601673507078</v>
      </c>
    </row>
    <row r="219" spans="1:15" x14ac:dyDescent="0.55000000000000004">
      <c r="A219" s="66"/>
      <c r="B219" s="66" t="s">
        <v>245</v>
      </c>
      <c r="C219" s="69"/>
      <c r="D219" s="69"/>
      <c r="E219" s="69"/>
      <c r="F219" s="69"/>
      <c r="G219" s="134">
        <f>G218/G214</f>
        <v>0.56993293917815901</v>
      </c>
      <c r="H219" s="134">
        <f>H218/H214</f>
        <v>0.55517088218132271</v>
      </c>
      <c r="I219" s="138">
        <v>0.53900000000000003</v>
      </c>
      <c r="J219" s="138">
        <f>I219-0.5%</f>
        <v>0.53400000000000003</v>
      </c>
      <c r="K219" s="138">
        <v>0.53</v>
      </c>
      <c r="L219" s="138">
        <f>K219</f>
        <v>0.53</v>
      </c>
      <c r="M219" s="138">
        <f>L219</f>
        <v>0.53</v>
      </c>
      <c r="N219" s="138">
        <f>M219</f>
        <v>0.53</v>
      </c>
      <c r="O219" s="138">
        <f>N219</f>
        <v>0.53</v>
      </c>
    </row>
    <row r="220" spans="1:15" x14ac:dyDescent="0.55000000000000004">
      <c r="A220" s="66"/>
      <c r="B220" s="66"/>
      <c r="C220" s="69"/>
      <c r="D220" s="69"/>
      <c r="E220" s="69"/>
      <c r="F220" s="69"/>
      <c r="G220" s="69"/>
      <c r="H220" s="69"/>
      <c r="I220" s="66"/>
      <c r="J220" s="66"/>
      <c r="K220" s="66"/>
      <c r="L220" s="66"/>
      <c r="M220" s="66"/>
      <c r="N220" s="66"/>
      <c r="O220" s="66"/>
    </row>
    <row r="221" spans="1:15" x14ac:dyDescent="0.55000000000000004">
      <c r="A221" s="66"/>
      <c r="B221" s="66" t="s">
        <v>179</v>
      </c>
      <c r="C221" s="69"/>
      <c r="D221" s="69"/>
      <c r="E221" s="69"/>
      <c r="F221" s="69">
        <f>F13</f>
        <v>2316.6709999999998</v>
      </c>
      <c r="G221" s="69">
        <f>G13</f>
        <v>2706.9009999999998</v>
      </c>
      <c r="H221" s="69">
        <f>H13</f>
        <v>3128.654</v>
      </c>
      <c r="I221" s="69">
        <f t="shared" ref="I221:O221" si="87">I214-I218</f>
        <v>3603.2232672555301</v>
      </c>
      <c r="J221" s="69">
        <f t="shared" si="87"/>
        <v>4042.9571957062817</v>
      </c>
      <c r="K221" s="69">
        <f t="shared" si="87"/>
        <v>4579.9707512846944</v>
      </c>
      <c r="L221" s="69">
        <f t="shared" si="87"/>
        <v>5052.7773126748025</v>
      </c>
      <c r="M221" s="69">
        <f t="shared" si="87"/>
        <v>5423.8262484627157</v>
      </c>
      <c r="N221" s="69">
        <f t="shared" si="87"/>
        <v>5676.9381400576431</v>
      </c>
      <c r="O221" s="69">
        <f t="shared" si="87"/>
        <v>5935.8354463175974</v>
      </c>
    </row>
    <row r="222" spans="1:15" x14ac:dyDescent="0.55000000000000004">
      <c r="A222" s="66"/>
      <c r="B222" s="66" t="s">
        <v>242</v>
      </c>
      <c r="C222" s="69"/>
      <c r="D222" s="69"/>
      <c r="E222" s="69"/>
      <c r="F222" s="69"/>
      <c r="G222" s="135">
        <f>G221/(G211*1000)</f>
        <v>1.4517328113268261E-2</v>
      </c>
      <c r="H222" s="135">
        <f>H221/(H211*1000)</f>
        <v>1.4926557984908183E-2</v>
      </c>
      <c r="I222" s="135">
        <f>I221/(I211*1000)</f>
        <v>1.5627899999999997E-2</v>
      </c>
      <c r="J222" s="135">
        <f t="shared" ref="J222:O222" si="88">J221/(J211*1000)</f>
        <v>1.5797399999999996E-2</v>
      </c>
      <c r="K222" s="135">
        <f t="shared" si="88"/>
        <v>1.5698E-2</v>
      </c>
      <c r="L222" s="135">
        <f t="shared" si="88"/>
        <v>1.5462999999999998E-2</v>
      </c>
      <c r="M222" s="135">
        <f t="shared" si="88"/>
        <v>1.5227999999999997E-2</v>
      </c>
      <c r="N222" s="135">
        <f t="shared" si="88"/>
        <v>1.4757999999999999E-2</v>
      </c>
      <c r="O222" s="135">
        <f t="shared" si="88"/>
        <v>1.4287999999999997E-2</v>
      </c>
    </row>
    <row r="223" spans="1:15" x14ac:dyDescent="0.55000000000000004">
      <c r="A223" s="66"/>
      <c r="B223" s="66"/>
      <c r="C223" s="69"/>
      <c r="D223" s="69"/>
      <c r="E223" s="69"/>
      <c r="F223" s="69"/>
      <c r="G223" s="69"/>
      <c r="H223" s="69"/>
      <c r="I223" s="66"/>
      <c r="J223" s="66"/>
      <c r="K223" s="66"/>
      <c r="L223" s="66"/>
      <c r="M223" s="66"/>
      <c r="N223" s="66"/>
      <c r="O223" s="66"/>
    </row>
    <row r="224" spans="1:15" x14ac:dyDescent="0.55000000000000004">
      <c r="A224" s="66"/>
      <c r="B224" s="66" t="s">
        <v>579</v>
      </c>
      <c r="C224" s="66"/>
      <c r="D224" s="66"/>
      <c r="E224" s="69"/>
      <c r="F224" s="69">
        <f>Interims!D221+Interims!E221+Interims!F221+Interims!G221</f>
        <v>266.10603000000003</v>
      </c>
      <c r="G224" s="69">
        <f>Interims!H221+Interims!I221+Interims!J221+Interims!K221</f>
        <v>502.83989999999994</v>
      </c>
      <c r="H224" s="69">
        <f>Interims!L221+Interims!M221+Interims!N221+Interims!O221</f>
        <v>650.54816500000004</v>
      </c>
      <c r="I224" s="69">
        <f>(1+I225)*H224</f>
        <v>813.18520625000008</v>
      </c>
      <c r="J224" s="69">
        <f t="shared" ref="J224:O224" si="89">(1+J225)*I224</f>
        <v>992.08595162500012</v>
      </c>
      <c r="K224" s="69">
        <f t="shared" si="89"/>
        <v>1170.6614229175</v>
      </c>
      <c r="L224" s="69">
        <f t="shared" si="89"/>
        <v>1357.9672505842998</v>
      </c>
      <c r="M224" s="69">
        <f t="shared" si="89"/>
        <v>1534.5029931602587</v>
      </c>
      <c r="N224" s="69">
        <f t="shared" si="89"/>
        <v>1687.9532924762848</v>
      </c>
      <c r="O224" s="69">
        <f t="shared" si="89"/>
        <v>1822.9895558743876</v>
      </c>
    </row>
    <row r="225" spans="1:15" x14ac:dyDescent="0.55000000000000004">
      <c r="A225" s="66"/>
      <c r="B225" s="66" t="s">
        <v>243</v>
      </c>
      <c r="C225" s="69"/>
      <c r="D225" s="69"/>
      <c r="E225" s="69"/>
      <c r="F225" s="69"/>
      <c r="G225" s="134">
        <f>G224/F224-1</f>
        <v>0.88962234339447277</v>
      </c>
      <c r="H225" s="134">
        <f>H224/G224-1</f>
        <v>0.293748099544209</v>
      </c>
      <c r="I225" s="138">
        <v>0.25</v>
      </c>
      <c r="J225" s="138">
        <v>0.22</v>
      </c>
      <c r="K225" s="138">
        <v>0.18</v>
      </c>
      <c r="L225" s="138">
        <v>0.16</v>
      </c>
      <c r="M225" s="138">
        <v>0.13</v>
      </c>
      <c r="N225" s="138">
        <v>0.1</v>
      </c>
      <c r="O225" s="138">
        <v>0.08</v>
      </c>
    </row>
    <row r="226" spans="1:15" x14ac:dyDescent="0.55000000000000004">
      <c r="A226" s="66"/>
      <c r="B226" s="66" t="s">
        <v>581</v>
      </c>
      <c r="C226" s="69"/>
      <c r="D226" s="69"/>
      <c r="E226" s="69"/>
      <c r="F226" s="69"/>
      <c r="G226" s="69"/>
      <c r="H226" s="134">
        <f>H224/H221</f>
        <v>0.20793228174160519</v>
      </c>
      <c r="I226" s="134">
        <f t="shared" ref="I226:O226" si="90">I224/I221</f>
        <v>0.22568271404102569</v>
      </c>
      <c r="J226" s="134">
        <f t="shared" si="90"/>
        <v>0.24538621202287755</v>
      </c>
      <c r="K226" s="134">
        <f t="shared" si="90"/>
        <v>0.25560456310537055</v>
      </c>
      <c r="L226" s="134">
        <f t="shared" si="90"/>
        <v>0.26875659989563816</v>
      </c>
      <c r="M226" s="134">
        <f t="shared" si="90"/>
        <v>0.28291890685015686</v>
      </c>
      <c r="N226" s="134">
        <f t="shared" si="90"/>
        <v>0.29733515688073808</v>
      </c>
      <c r="O226" s="134">
        <f t="shared" si="90"/>
        <v>0.30711591862023602</v>
      </c>
    </row>
    <row r="227" spans="1:15" x14ac:dyDescent="0.55000000000000004">
      <c r="A227" s="66"/>
      <c r="B227" s="187" t="s">
        <v>747</v>
      </c>
      <c r="C227" s="69"/>
      <c r="D227" s="69"/>
      <c r="E227" s="69"/>
      <c r="F227" s="69"/>
      <c r="G227" s="69"/>
      <c r="H227" s="134"/>
      <c r="I227" s="134"/>
      <c r="J227" s="134"/>
      <c r="K227" s="134"/>
      <c r="L227" s="134"/>
      <c r="M227" s="134"/>
      <c r="N227" s="134"/>
      <c r="O227" s="134"/>
    </row>
    <row r="228" spans="1:15" x14ac:dyDescent="0.55000000000000004">
      <c r="A228" s="66"/>
      <c r="B228" s="66"/>
      <c r="C228" s="69"/>
      <c r="D228" s="69"/>
      <c r="E228" s="69"/>
      <c r="F228" s="69"/>
      <c r="G228" s="69"/>
      <c r="H228" s="134"/>
      <c r="I228" s="134"/>
      <c r="J228" s="134"/>
      <c r="K228" s="134"/>
      <c r="L228" s="134"/>
      <c r="M228" s="134"/>
      <c r="N228" s="134"/>
      <c r="O228" s="134"/>
    </row>
    <row r="229" spans="1:15" x14ac:dyDescent="0.55000000000000004">
      <c r="A229" s="66"/>
      <c r="B229" s="66" t="s">
        <v>580</v>
      </c>
      <c r="C229" s="69"/>
      <c r="D229" s="69"/>
      <c r="E229" s="69"/>
      <c r="F229" s="69">
        <f>F221-F224</f>
        <v>2050.5649699999999</v>
      </c>
      <c r="G229" s="69">
        <f>G221-G224</f>
        <v>2204.0610999999999</v>
      </c>
      <c r="H229" s="69">
        <f>H221-H224</f>
        <v>2478.1058349999998</v>
      </c>
      <c r="I229" s="69">
        <f t="shared" ref="I229:O229" si="91">I221-I224</f>
        <v>2790.0380610055299</v>
      </c>
      <c r="J229" s="69">
        <f t="shared" si="91"/>
        <v>3050.8712440812815</v>
      </c>
      <c r="K229" s="69">
        <f t="shared" si="91"/>
        <v>3409.3093283671942</v>
      </c>
      <c r="L229" s="69">
        <f t="shared" si="91"/>
        <v>3694.8100620905025</v>
      </c>
      <c r="M229" s="69">
        <f t="shared" si="91"/>
        <v>3889.3232553024573</v>
      </c>
      <c r="N229" s="69">
        <f t="shared" si="91"/>
        <v>3988.9848475813583</v>
      </c>
      <c r="O229" s="69">
        <f t="shared" si="91"/>
        <v>4112.84589044321</v>
      </c>
    </row>
    <row r="230" spans="1:15" x14ac:dyDescent="0.55000000000000004">
      <c r="A230" s="66"/>
      <c r="B230" s="66" t="s">
        <v>716</v>
      </c>
      <c r="C230" s="69"/>
      <c r="D230" s="69"/>
      <c r="E230" s="69"/>
      <c r="F230" s="69"/>
      <c r="G230" s="135">
        <f>G229/(G211*1000)</f>
        <v>1.1820557224069505E-2</v>
      </c>
      <c r="H230" s="135">
        <f t="shared" ref="H230:O230" si="92">H229/(H211*1000)</f>
        <v>1.1822844724557849E-2</v>
      </c>
      <c r="I230" s="135">
        <f t="shared" si="92"/>
        <v>1.2100953113238251E-2</v>
      </c>
      <c r="J230" s="135">
        <f t="shared" si="92"/>
        <v>1.1920935854189791E-2</v>
      </c>
      <c r="K230" s="135">
        <f t="shared" si="92"/>
        <v>1.1685519568371893E-2</v>
      </c>
      <c r="L230" s="135">
        <f t="shared" si="92"/>
        <v>1.1307216695813744E-2</v>
      </c>
      <c r="M230" s="135">
        <f t="shared" si="92"/>
        <v>1.0919710886485809E-2</v>
      </c>
      <c r="N230" s="135">
        <f t="shared" si="92"/>
        <v>1.0369927754754066E-2</v>
      </c>
      <c r="O230" s="135">
        <f t="shared" si="92"/>
        <v>9.8999277547540659E-3</v>
      </c>
    </row>
    <row r="231" spans="1:15" x14ac:dyDescent="0.55000000000000004">
      <c r="A231" s="66"/>
      <c r="B231" s="66" t="s">
        <v>243</v>
      </c>
      <c r="C231" s="69"/>
      <c r="D231" s="69"/>
      <c r="E231" s="69"/>
      <c r="F231" s="69"/>
      <c r="G231" s="134">
        <f>G229/F229-1</f>
        <v>7.4855531156371891E-2</v>
      </c>
      <c r="H231" s="134">
        <f>H229/G229-1</f>
        <v>0.12433626953445165</v>
      </c>
      <c r="I231" s="134">
        <f t="shared" ref="I231:O231" si="93">I229/H229-1</f>
        <v>0.12587526392129655</v>
      </c>
      <c r="J231" s="134">
        <f t="shared" si="93"/>
        <v>9.3487320736315382E-2</v>
      </c>
      <c r="K231" s="134">
        <f t="shared" si="93"/>
        <v>0.1174871227297074</v>
      </c>
      <c r="L231" s="134">
        <f t="shared" si="93"/>
        <v>8.3741516602144683E-2</v>
      </c>
      <c r="M231" s="134">
        <f t="shared" si="93"/>
        <v>5.2644977669542348E-2</v>
      </c>
      <c r="N231" s="134">
        <f t="shared" si="93"/>
        <v>2.5624404488114649E-2</v>
      </c>
      <c r="O231" s="134">
        <f t="shared" si="93"/>
        <v>3.1050767950886682E-2</v>
      </c>
    </row>
    <row r="232" spans="1:15" x14ac:dyDescent="0.55000000000000004">
      <c r="A232" s="66"/>
      <c r="B232" s="66"/>
      <c r="C232" s="69"/>
      <c r="D232" s="69"/>
      <c r="E232" s="69"/>
      <c r="F232" s="69"/>
      <c r="G232" s="69"/>
      <c r="H232" s="69"/>
      <c r="I232" s="66"/>
      <c r="J232" s="66"/>
      <c r="K232" s="66"/>
      <c r="L232" s="66"/>
      <c r="M232" s="66"/>
      <c r="N232" s="66"/>
      <c r="O232" s="66"/>
    </row>
    <row r="233" spans="1:15" x14ac:dyDescent="0.55000000000000004">
      <c r="A233" s="66"/>
      <c r="B233" s="66" t="s">
        <v>766</v>
      </c>
      <c r="C233" s="69"/>
      <c r="E233" s="69"/>
      <c r="F233" s="69"/>
      <c r="I233" s="66"/>
      <c r="J233" s="66"/>
      <c r="K233" s="66"/>
      <c r="L233" s="66"/>
      <c r="M233" s="66"/>
      <c r="N233" s="66"/>
      <c r="O233" s="66"/>
    </row>
    <row r="234" spans="1:15" x14ac:dyDescent="0.55000000000000004">
      <c r="A234" s="66"/>
      <c r="B234" s="66" t="s">
        <v>768</v>
      </c>
      <c r="C234" s="69"/>
      <c r="E234" s="69"/>
      <c r="F234" s="69"/>
      <c r="G234" s="69">
        <f>G229-G236</f>
        <v>1926.0610999999999</v>
      </c>
      <c r="H234" s="69">
        <f>H229-H236</f>
        <v>2112.1058349999998</v>
      </c>
      <c r="I234" s="69">
        <f t="shared" ref="I234:O234" si="94">I229-I236</f>
        <v>2332.5380610055299</v>
      </c>
      <c r="J234" s="69">
        <f t="shared" si="94"/>
        <v>2547.6212440812815</v>
      </c>
      <c r="K234" s="69">
        <f t="shared" si="94"/>
        <v>2880.8968283671938</v>
      </c>
      <c r="L234" s="69">
        <f t="shared" si="94"/>
        <v>3139.9769370905024</v>
      </c>
      <c r="M234" s="69">
        <f t="shared" si="94"/>
        <v>3306.7484740524569</v>
      </c>
      <c r="N234" s="69">
        <f t="shared" si="94"/>
        <v>3377.2813272688581</v>
      </c>
      <c r="O234" s="69">
        <f t="shared" si="94"/>
        <v>3470.5571941150847</v>
      </c>
    </row>
    <row r="235" spans="1:15" x14ac:dyDescent="0.55000000000000004">
      <c r="A235" s="66"/>
      <c r="B235" s="66" t="s">
        <v>393</v>
      </c>
      <c r="C235" s="69"/>
      <c r="E235" s="69"/>
      <c r="F235" s="69"/>
      <c r="G235" s="69"/>
      <c r="H235" s="134">
        <f>H234/G234-1</f>
        <v>9.6593371311013865E-2</v>
      </c>
      <c r="I235" s="134">
        <f t="shared" ref="I235:O235" si="95">I234/H234-1</f>
        <v>0.10436608921424151</v>
      </c>
      <c r="J235" s="134">
        <f t="shared" si="95"/>
        <v>9.2209935036614787E-2</v>
      </c>
      <c r="K235" s="134">
        <f t="shared" si="95"/>
        <v>0.13081834085823751</v>
      </c>
      <c r="L235" s="134">
        <f t="shared" si="95"/>
        <v>8.9930366881672441E-2</v>
      </c>
      <c r="M235" s="134">
        <f t="shared" si="95"/>
        <v>5.3112344550047874E-2</v>
      </c>
      <c r="N235" s="134">
        <f t="shared" si="95"/>
        <v>2.132997225820521E-2</v>
      </c>
      <c r="O235" s="134">
        <f t="shared" si="95"/>
        <v>2.7618625103303707E-2</v>
      </c>
    </row>
    <row r="236" spans="1:15" x14ac:dyDescent="0.55000000000000004">
      <c r="A236" s="66"/>
      <c r="B236" s="66" t="s">
        <v>767</v>
      </c>
      <c r="C236" s="69"/>
      <c r="E236" s="69"/>
      <c r="F236" s="69"/>
      <c r="G236" s="69">
        <f>Interims!K314+Interims!J314+Interims!I314+Interims!H314</f>
        <v>278</v>
      </c>
      <c r="H236" s="69">
        <f>Interims!O314+Interims!N314+Interims!M314+Interims!L314</f>
        <v>366</v>
      </c>
      <c r="I236" s="140">
        <f>(1+I237)*H236</f>
        <v>457.5</v>
      </c>
      <c r="J236" s="140">
        <f t="shared" ref="J236:O236" si="96">(1+J237)*I236</f>
        <v>503.25000000000006</v>
      </c>
      <c r="K236" s="140">
        <f t="shared" si="96"/>
        <v>528.41250000000014</v>
      </c>
      <c r="L236" s="140">
        <f t="shared" si="96"/>
        <v>554.83312500000022</v>
      </c>
      <c r="M236" s="140">
        <f t="shared" si="96"/>
        <v>582.57478125000023</v>
      </c>
      <c r="N236" s="140">
        <f t="shared" si="96"/>
        <v>611.70352031250025</v>
      </c>
      <c r="O236" s="140">
        <f t="shared" si="96"/>
        <v>642.2886963281253</v>
      </c>
    </row>
    <row r="237" spans="1:15" x14ac:dyDescent="0.55000000000000004">
      <c r="A237" s="66"/>
      <c r="B237" s="66" t="s">
        <v>243</v>
      </c>
      <c r="C237" s="69"/>
      <c r="E237" s="69"/>
      <c r="F237" s="69"/>
      <c r="G237" s="69"/>
      <c r="H237" s="69"/>
      <c r="I237" s="138">
        <v>0.25</v>
      </c>
      <c r="J237" s="138">
        <v>0.1</v>
      </c>
      <c r="K237" s="138">
        <v>0.05</v>
      </c>
      <c r="L237" s="138">
        <v>0.05</v>
      </c>
      <c r="M237" s="138">
        <v>0.05</v>
      </c>
      <c r="N237" s="138">
        <v>0.05</v>
      </c>
      <c r="O237" s="138">
        <v>0.05</v>
      </c>
    </row>
    <row r="238" spans="1:15" x14ac:dyDescent="0.55000000000000004">
      <c r="A238" s="66"/>
      <c r="B238" s="66"/>
      <c r="C238" s="69"/>
      <c r="D238" s="69"/>
      <c r="E238" s="69"/>
      <c r="F238" s="69"/>
      <c r="G238" s="69"/>
      <c r="H238" s="69"/>
      <c r="I238" s="66"/>
      <c r="J238" s="66"/>
      <c r="K238" s="66"/>
      <c r="L238" s="66"/>
      <c r="M238" s="66"/>
      <c r="N238" s="66"/>
      <c r="O238" s="66"/>
    </row>
    <row r="239" spans="1:15" x14ac:dyDescent="0.55000000000000004">
      <c r="A239" s="66"/>
      <c r="B239" s="66"/>
      <c r="C239" s="69"/>
      <c r="D239" s="69"/>
      <c r="E239" s="69"/>
      <c r="F239" s="69"/>
      <c r="G239" s="69"/>
      <c r="H239" s="69"/>
      <c r="I239" s="66"/>
      <c r="J239" s="66"/>
      <c r="K239" s="66"/>
      <c r="L239" s="66"/>
      <c r="M239" s="66"/>
      <c r="N239" s="66"/>
      <c r="O239" s="66"/>
    </row>
    <row r="240" spans="1:15" x14ac:dyDescent="0.55000000000000004">
      <c r="A240" s="66"/>
      <c r="B240" s="188" t="s">
        <v>163</v>
      </c>
      <c r="C240" s="188">
        <f>C209</f>
        <v>2018</v>
      </c>
      <c r="D240" s="188">
        <f t="shared" ref="D240:O240" si="97">D209</f>
        <v>2019</v>
      </c>
      <c r="E240" s="188">
        <f t="shared" si="97"/>
        <v>2020</v>
      </c>
      <c r="F240" s="188">
        <f t="shared" si="97"/>
        <v>2021</v>
      </c>
      <c r="G240" s="188">
        <f t="shared" si="97"/>
        <v>2022</v>
      </c>
      <c r="H240" s="188">
        <f t="shared" si="97"/>
        <v>2023</v>
      </c>
      <c r="I240" s="188">
        <f t="shared" si="97"/>
        <v>2024</v>
      </c>
      <c r="J240" s="188">
        <f t="shared" si="97"/>
        <v>2025</v>
      </c>
      <c r="K240" s="188">
        <f t="shared" si="97"/>
        <v>2026</v>
      </c>
      <c r="L240" s="188">
        <f t="shared" si="97"/>
        <v>2027</v>
      </c>
      <c r="M240" s="188">
        <f t="shared" si="97"/>
        <v>2028</v>
      </c>
      <c r="N240" s="188">
        <f t="shared" si="97"/>
        <v>2029</v>
      </c>
      <c r="O240" s="188">
        <f t="shared" si="97"/>
        <v>2030</v>
      </c>
    </row>
    <row r="241" spans="2:18" x14ac:dyDescent="0.55000000000000004">
      <c r="B241" s="66"/>
      <c r="C241" s="69"/>
      <c r="D241" s="69"/>
      <c r="E241" s="69"/>
      <c r="F241" s="69"/>
      <c r="G241" s="69"/>
      <c r="H241" s="69"/>
      <c r="I241" s="66"/>
      <c r="J241" s="66"/>
      <c r="K241" s="66"/>
      <c r="L241" s="66"/>
      <c r="M241" s="66"/>
      <c r="N241" s="66"/>
      <c r="O241" s="66"/>
    </row>
    <row r="242" spans="2:18" x14ac:dyDescent="0.55000000000000004">
      <c r="B242" s="66" t="s">
        <v>416</v>
      </c>
      <c r="C242" s="69"/>
      <c r="D242" s="69"/>
      <c r="E242" s="69"/>
      <c r="F242" s="69">
        <f>'Op Metrics - feeder'!AD60</f>
        <v>44</v>
      </c>
      <c r="G242" s="69">
        <f>'Op Metrics - feeder'!AG60</f>
        <v>49</v>
      </c>
      <c r="H242" s="69">
        <f>'Op Metrics - feeder'!AL60</f>
        <v>56</v>
      </c>
      <c r="I242" s="69">
        <f>H242+I243</f>
        <v>59</v>
      </c>
      <c r="J242" s="69">
        <f t="shared" ref="J242:O242" si="98">I242+J243</f>
        <v>61</v>
      </c>
      <c r="K242" s="69">
        <f t="shared" si="98"/>
        <v>62.75</v>
      </c>
      <c r="L242" s="69">
        <f t="shared" si="98"/>
        <v>64.25</v>
      </c>
      <c r="M242" s="69">
        <f t="shared" si="98"/>
        <v>65.25</v>
      </c>
      <c r="N242" s="69">
        <f t="shared" si="98"/>
        <v>66.25</v>
      </c>
      <c r="O242" s="69">
        <f t="shared" si="98"/>
        <v>67.25</v>
      </c>
    </row>
    <row r="243" spans="2:18" x14ac:dyDescent="0.55000000000000004">
      <c r="B243" s="66" t="s">
        <v>417</v>
      </c>
      <c r="C243" s="69"/>
      <c r="D243" s="69"/>
      <c r="E243" s="69"/>
      <c r="F243" s="69"/>
      <c r="G243" s="173">
        <f>G242-F242</f>
        <v>5</v>
      </c>
      <c r="H243" s="173">
        <f>H242-G242</f>
        <v>7</v>
      </c>
      <c r="I243" s="233">
        <v>3</v>
      </c>
      <c r="J243" s="233">
        <v>2</v>
      </c>
      <c r="K243" s="233">
        <v>1.75</v>
      </c>
      <c r="L243" s="233">
        <v>1.5</v>
      </c>
      <c r="M243" s="233">
        <v>1</v>
      </c>
      <c r="N243" s="233">
        <v>1</v>
      </c>
      <c r="O243" s="233">
        <v>1</v>
      </c>
    </row>
    <row r="244" spans="2:18" x14ac:dyDescent="0.55000000000000004">
      <c r="B244" s="66"/>
      <c r="C244" s="69"/>
      <c r="D244" s="69"/>
      <c r="E244" s="69"/>
      <c r="F244" s="69"/>
      <c r="G244" s="69"/>
      <c r="H244" s="66"/>
      <c r="I244" s="66"/>
      <c r="J244" s="66"/>
      <c r="K244" s="66"/>
      <c r="L244" s="66"/>
      <c r="M244" s="66"/>
      <c r="N244" s="66"/>
      <c r="O244" s="66"/>
    </row>
    <row r="245" spans="2:18" x14ac:dyDescent="0.55000000000000004">
      <c r="B245" s="66" t="s">
        <v>419</v>
      </c>
      <c r="C245" s="69"/>
      <c r="D245" s="66"/>
      <c r="E245" s="69"/>
      <c r="F245" s="69"/>
      <c r="G245" s="69">
        <f>(('Op Metrics - feeder'!AE61*'Op Metrics - feeder'!AE60)+('Op Metrics - feeder'!AF61*'Op Metrics - feeder'!AF60)+('Op Metrics - feeder'!AG61*'Op Metrics - feeder'!AG60)+('Op Metrics - feeder'!AH61*'Op Metrics - feeder'!AH60))/1000</f>
        <v>202.35</v>
      </c>
      <c r="H245" s="69">
        <f>(('Op Metrics - feeder'!AI61*'Op Metrics - feeder'!AI60)+('Op Metrics - feeder'!AJ61*'Op Metrics - feeder'!AJ60)+('Op Metrics - feeder'!AK61*'Op Metrics - feeder'!AK60)+('Op Metrics - feeder'!AL61*'Op Metrics - feeder'!AL60))/1000</f>
        <v>247.376</v>
      </c>
      <c r="I245" s="69">
        <f>I242*I247/1000</f>
        <v>287.99425571428571</v>
      </c>
      <c r="J245" s="69">
        <f t="shared" ref="J245:O245" si="99">J242*J247/1000</f>
        <v>333.48758559999999</v>
      </c>
      <c r="K245" s="69">
        <f t="shared" si="99"/>
        <v>384.22143468800004</v>
      </c>
      <c r="L245" s="69">
        <f t="shared" si="99"/>
        <v>432.74661189760013</v>
      </c>
      <c r="M245" s="69">
        <f t="shared" si="99"/>
        <v>474.64052514278416</v>
      </c>
      <c r="N245" s="69">
        <f t="shared" si="99"/>
        <v>506.01044490796818</v>
      </c>
      <c r="O245" s="69">
        <f t="shared" si="99"/>
        <v>529.05778856849349</v>
      </c>
    </row>
    <row r="246" spans="2:18" x14ac:dyDescent="0.55000000000000004">
      <c r="B246" s="66" t="s">
        <v>393</v>
      </c>
      <c r="C246" s="69"/>
      <c r="D246" s="66"/>
      <c r="E246" s="69"/>
      <c r="F246" s="69"/>
      <c r="G246" s="69"/>
      <c r="H246" s="134">
        <f t="shared" ref="H246:O246" si="100">H245/G245-1</f>
        <v>0.22251544353842356</v>
      </c>
      <c r="I246" s="134">
        <f t="shared" si="100"/>
        <v>0.16419642857142858</v>
      </c>
      <c r="J246" s="134">
        <f t="shared" si="100"/>
        <v>0.15796610169491521</v>
      </c>
      <c r="K246" s="134">
        <f t="shared" si="100"/>
        <v>0.15213114754098389</v>
      </c>
      <c r="L246" s="134">
        <f t="shared" si="100"/>
        <v>0.12629482071713172</v>
      </c>
      <c r="M246" s="134">
        <f t="shared" si="100"/>
        <v>9.6809338521400834E-2</v>
      </c>
      <c r="N246" s="134">
        <f t="shared" si="100"/>
        <v>6.6091954022988508E-2</v>
      </c>
      <c r="O246" s="134">
        <f t="shared" si="100"/>
        <v>4.5547169811321009E-2</v>
      </c>
    </row>
    <row r="247" spans="2:18" x14ac:dyDescent="0.55000000000000004">
      <c r="B247" s="66" t="s">
        <v>418</v>
      </c>
      <c r="C247" s="69"/>
      <c r="D247" s="69"/>
      <c r="E247" s="69"/>
      <c r="F247" s="69"/>
      <c r="G247" s="69">
        <f>G245*1000/G242</f>
        <v>4129.591836734694</v>
      </c>
      <c r="H247" s="69">
        <f>H245*1000/H242</f>
        <v>4417.4285714285716</v>
      </c>
      <c r="I247" s="69">
        <f>(1+I248)*H247</f>
        <v>4881.2585714285715</v>
      </c>
      <c r="J247" s="69">
        <f t="shared" ref="J247:O247" si="101">(1+J248)*I247</f>
        <v>5467.0096000000003</v>
      </c>
      <c r="K247" s="69">
        <f t="shared" si="101"/>
        <v>6123.050752000001</v>
      </c>
      <c r="L247" s="69">
        <f t="shared" si="101"/>
        <v>6735.3558272000018</v>
      </c>
      <c r="M247" s="69">
        <f t="shared" si="101"/>
        <v>7274.1842933760026</v>
      </c>
      <c r="N247" s="69">
        <f t="shared" si="101"/>
        <v>7637.8935080448027</v>
      </c>
      <c r="O247" s="69">
        <f t="shared" si="101"/>
        <v>7867.0303132861472</v>
      </c>
    </row>
    <row r="248" spans="2:18" x14ac:dyDescent="0.55000000000000004">
      <c r="B248" s="66" t="s">
        <v>393</v>
      </c>
      <c r="C248" s="69"/>
      <c r="D248" s="69"/>
      <c r="E248" s="69"/>
      <c r="F248" s="69"/>
      <c r="G248" s="69"/>
      <c r="H248" s="134">
        <f>H247/G247-1</f>
        <v>6.9701013096120645E-2</v>
      </c>
      <c r="I248" s="138">
        <v>0.105</v>
      </c>
      <c r="J248" s="138">
        <v>0.12</v>
      </c>
      <c r="K248" s="138">
        <v>0.12</v>
      </c>
      <c r="L248" s="138">
        <v>0.1</v>
      </c>
      <c r="M248" s="138">
        <v>0.08</v>
      </c>
      <c r="N248" s="138">
        <v>0.05</v>
      </c>
      <c r="O248" s="138">
        <v>0.03</v>
      </c>
    </row>
    <row r="249" spans="2:18" x14ac:dyDescent="0.55000000000000004">
      <c r="B249" s="66"/>
      <c r="C249" s="69"/>
      <c r="D249" s="69"/>
      <c r="E249" s="69"/>
      <c r="F249" s="69"/>
      <c r="G249" s="69"/>
      <c r="H249" s="69"/>
      <c r="I249" s="66"/>
      <c r="J249" s="66"/>
      <c r="K249" s="66"/>
      <c r="L249" s="66"/>
      <c r="M249" s="66"/>
      <c r="N249" s="66"/>
      <c r="O249" s="66"/>
    </row>
    <row r="250" spans="2:18" x14ac:dyDescent="0.55000000000000004">
      <c r="B250" s="66" t="s">
        <v>865</v>
      </c>
      <c r="C250" s="69"/>
      <c r="D250" s="69"/>
      <c r="E250" s="69"/>
      <c r="F250" s="69"/>
      <c r="G250" s="173">
        <v>2</v>
      </c>
      <c r="H250" s="173">
        <v>3</v>
      </c>
      <c r="I250" s="173">
        <v>5</v>
      </c>
      <c r="J250" s="173">
        <f t="shared" ref="J250:O250" si="102">(1+J251)*I250</f>
        <v>5.7898305084745765</v>
      </c>
      <c r="K250" s="173">
        <f t="shared" si="102"/>
        <v>6.6706440677966121</v>
      </c>
      <c r="L250" s="173">
        <f t="shared" si="102"/>
        <v>7.5131118644067838</v>
      </c>
      <c r="M250" s="173">
        <f t="shared" si="102"/>
        <v>8.2404512542372927</v>
      </c>
      <c r="N250" s="173">
        <f t="shared" si="102"/>
        <v>8.7850787796610224</v>
      </c>
      <c r="O250" s="173">
        <f t="shared" si="102"/>
        <v>9.1852142546440749</v>
      </c>
    </row>
    <row r="251" spans="2:18" x14ac:dyDescent="0.55000000000000004">
      <c r="B251" s="66" t="str">
        <f>B246</f>
        <v>% change</v>
      </c>
      <c r="C251" s="69"/>
      <c r="D251" s="69"/>
      <c r="E251" s="69"/>
      <c r="F251" s="69"/>
      <c r="G251" s="240"/>
      <c r="H251" s="134">
        <f>H246</f>
        <v>0.22251544353842356</v>
      </c>
      <c r="I251" s="134">
        <f>I250/H250-1</f>
        <v>0.66666666666666674</v>
      </c>
      <c r="J251" s="134">
        <f t="shared" ref="J251:O251" si="103">J246</f>
        <v>0.15796610169491521</v>
      </c>
      <c r="K251" s="134">
        <f t="shared" si="103"/>
        <v>0.15213114754098389</v>
      </c>
      <c r="L251" s="134">
        <f t="shared" si="103"/>
        <v>0.12629482071713172</v>
      </c>
      <c r="M251" s="134">
        <f t="shared" si="103"/>
        <v>9.6809338521400834E-2</v>
      </c>
      <c r="N251" s="134">
        <f t="shared" si="103"/>
        <v>6.6091954022988508E-2</v>
      </c>
      <c r="O251" s="134">
        <f t="shared" si="103"/>
        <v>4.5547169811321009E-2</v>
      </c>
    </row>
    <row r="252" spans="2:18" x14ac:dyDescent="0.55000000000000004">
      <c r="B252" s="66"/>
      <c r="C252" s="69"/>
      <c r="D252" s="69"/>
      <c r="E252" s="69"/>
      <c r="F252" s="69"/>
      <c r="G252" s="69"/>
      <c r="H252" s="69"/>
      <c r="I252" s="66"/>
      <c r="J252" s="66"/>
      <c r="K252" s="66"/>
      <c r="L252" s="66"/>
      <c r="M252" s="66"/>
      <c r="N252" s="66"/>
      <c r="O252" s="66"/>
    </row>
    <row r="253" spans="2:18" x14ac:dyDescent="0.55000000000000004">
      <c r="B253" s="67" t="s">
        <v>90</v>
      </c>
      <c r="C253" s="86" t="s">
        <v>371</v>
      </c>
      <c r="D253" s="86"/>
      <c r="E253" s="86"/>
      <c r="F253" s="86">
        <f>F20</f>
        <v>12315.499</v>
      </c>
      <c r="G253" s="86">
        <f>G20</f>
        <v>11031.804</v>
      </c>
      <c r="H253" s="86">
        <f>H20</f>
        <v>14681.686</v>
      </c>
      <c r="I253" s="86">
        <f t="shared" ref="I253:O253" si="104">I255+I275+I286</f>
        <v>16713.276363473055</v>
      </c>
      <c r="J253" s="86">
        <f t="shared" si="104"/>
        <v>18273.440734473057</v>
      </c>
      <c r="K253" s="86">
        <f t="shared" si="104"/>
        <v>19847.194556283597</v>
      </c>
      <c r="L253" s="86">
        <f t="shared" si="104"/>
        <v>21532.611061685926</v>
      </c>
      <c r="M253" s="86">
        <f t="shared" si="104"/>
        <v>23318.37916003176</v>
      </c>
      <c r="N253" s="86">
        <f t="shared" si="104"/>
        <v>24991.663580862907</v>
      </c>
      <c r="O253" s="86">
        <f t="shared" si="104"/>
        <v>26663.646233705455</v>
      </c>
      <c r="R253" t="s">
        <v>371</v>
      </c>
    </row>
    <row r="254" spans="2:18" x14ac:dyDescent="0.55000000000000004">
      <c r="B254" s="66" t="s">
        <v>393</v>
      </c>
      <c r="C254" s="69"/>
      <c r="D254" s="69"/>
      <c r="E254" s="69"/>
      <c r="F254" s="69"/>
      <c r="G254" s="69"/>
      <c r="H254" s="134">
        <f>H253/G253-1</f>
        <v>0.33085087443540506</v>
      </c>
      <c r="I254" s="173">
        <f t="shared" ref="I254:O254" si="105">I253/H253-1</f>
        <v>0.13837582165107287</v>
      </c>
      <c r="J254" s="134">
        <f t="shared" si="105"/>
        <v>9.334880469096718E-2</v>
      </c>
      <c r="K254" s="134">
        <f t="shared" si="105"/>
        <v>8.6122468377924921E-2</v>
      </c>
      <c r="L254" s="134">
        <f t="shared" si="105"/>
        <v>8.4919634390782317E-2</v>
      </c>
      <c r="M254" s="134">
        <f t="shared" si="105"/>
        <v>8.293318879117928E-2</v>
      </c>
      <c r="N254" s="134">
        <f t="shared" si="105"/>
        <v>7.1758178788823956E-2</v>
      </c>
      <c r="O254" s="134">
        <f t="shared" si="105"/>
        <v>6.6901614909815388E-2</v>
      </c>
    </row>
    <row r="255" spans="2:18" x14ac:dyDescent="0.55000000000000004">
      <c r="B255" s="66" t="s">
        <v>422</v>
      </c>
      <c r="C255" s="69"/>
      <c r="D255" s="69"/>
      <c r="E255" s="69"/>
      <c r="F255" s="69"/>
      <c r="G255" s="69">
        <f>BNPL!C46</f>
        <v>811.38400000000001</v>
      </c>
      <c r="H255" s="69">
        <f>BNPL!D46</f>
        <v>1047.0929999999998</v>
      </c>
      <c r="I255" s="69">
        <f>BNPL!E46</f>
        <v>1238.7375</v>
      </c>
      <c r="J255" s="69">
        <f>BNPL!F46</f>
        <v>1548.421875</v>
      </c>
      <c r="K255" s="69">
        <f>BNPL!G46</f>
        <v>1981.9800000000002</v>
      </c>
      <c r="L255" s="69">
        <f>BNPL!H46</f>
        <v>2477.4750000000004</v>
      </c>
      <c r="M255" s="69">
        <f>BNPL!I46</f>
        <v>2972.9700000000007</v>
      </c>
      <c r="N255" s="69">
        <f>BNPL!J46</f>
        <v>3418.9155000000005</v>
      </c>
      <c r="O255" s="69">
        <f>BNPL!K46</f>
        <v>3931.752825</v>
      </c>
    </row>
    <row r="256" spans="2:18" x14ac:dyDescent="0.55000000000000004">
      <c r="B256" s="66" t="s">
        <v>644</v>
      </c>
      <c r="C256" s="69"/>
      <c r="D256" s="69"/>
      <c r="E256" s="69"/>
      <c r="F256" s="69"/>
      <c r="G256" s="69">
        <f>G253-G255</f>
        <v>10220.42</v>
      </c>
      <c r="H256" s="69">
        <f t="shared" ref="H256:O256" si="106">H253-H255</f>
        <v>13634.593000000001</v>
      </c>
      <c r="I256" s="69">
        <f t="shared" si="106"/>
        <v>15474.538863473055</v>
      </c>
      <c r="J256" s="69">
        <f t="shared" si="106"/>
        <v>16725.018859473057</v>
      </c>
      <c r="K256" s="69">
        <f t="shared" si="106"/>
        <v>17865.214556283598</v>
      </c>
      <c r="L256" s="69">
        <f t="shared" si="106"/>
        <v>19055.136061685924</v>
      </c>
      <c r="M256" s="69">
        <f t="shared" si="106"/>
        <v>20345.409160031759</v>
      </c>
      <c r="N256" s="69">
        <f t="shared" si="106"/>
        <v>21572.748080862908</v>
      </c>
      <c r="O256" s="69">
        <f t="shared" si="106"/>
        <v>22731.893408705455</v>
      </c>
    </row>
    <row r="257" spans="2:15" x14ac:dyDescent="0.55000000000000004">
      <c r="B257" s="66"/>
      <c r="C257" s="69"/>
      <c r="D257" s="69"/>
      <c r="E257" s="69"/>
      <c r="F257" s="69"/>
      <c r="G257" s="69"/>
      <c r="H257" s="69"/>
      <c r="I257" s="66"/>
      <c r="J257" s="66"/>
      <c r="K257" s="66"/>
      <c r="L257" s="66"/>
      <c r="M257" s="66"/>
      <c r="N257" s="66"/>
      <c r="O257" s="66"/>
    </row>
    <row r="258" spans="2:15" x14ac:dyDescent="0.55000000000000004">
      <c r="B258" s="66" t="s">
        <v>253</v>
      </c>
      <c r="C258" s="69"/>
      <c r="D258" s="69"/>
      <c r="E258" s="69"/>
      <c r="F258" s="171"/>
      <c r="G258" s="171">
        <f>G253/(G245*1000)</f>
        <v>5.4518428465530025E-2</v>
      </c>
      <c r="H258" s="171">
        <f>H253/(H245*1000)</f>
        <v>5.9349678222624665E-2</v>
      </c>
      <c r="I258" s="171">
        <f t="shared" ref="I258:O258" si="107">I253/(I245*1000)</f>
        <v>5.803336709623131E-2</v>
      </c>
      <c r="J258" s="171">
        <f t="shared" si="107"/>
        <v>5.4794965460546539E-2</v>
      </c>
      <c r="K258" s="171">
        <f t="shared" si="107"/>
        <v>5.1655615133497548E-2</v>
      </c>
      <c r="L258" s="171">
        <f t="shared" si="107"/>
        <v>4.9758011893530761E-2</v>
      </c>
      <c r="M258" s="171">
        <f t="shared" si="107"/>
        <v>4.9128504467706349E-2</v>
      </c>
      <c r="N258" s="171">
        <f t="shared" si="107"/>
        <v>4.9389619981872752E-2</v>
      </c>
      <c r="O258" s="171">
        <f t="shared" si="107"/>
        <v>5.0398362541549648E-2</v>
      </c>
    </row>
    <row r="259" spans="2:15" x14ac:dyDescent="0.55000000000000004">
      <c r="B259" s="66"/>
      <c r="C259" s="69"/>
      <c r="D259" s="69"/>
      <c r="E259" s="69"/>
      <c r="F259" s="69"/>
      <c r="G259" s="69"/>
      <c r="H259" s="134"/>
      <c r="I259" s="66"/>
      <c r="J259" s="66"/>
      <c r="K259" s="66"/>
      <c r="L259" s="66"/>
      <c r="M259" s="66"/>
      <c r="N259" s="66"/>
      <c r="O259" s="66"/>
    </row>
    <row r="260" spans="2:15" x14ac:dyDescent="0.55000000000000004">
      <c r="B260" s="67" t="s">
        <v>421</v>
      </c>
      <c r="C260" s="86"/>
      <c r="D260" s="86"/>
      <c r="E260" s="86"/>
      <c r="F260" s="86">
        <f>F22</f>
        <v>2070.8470000000002</v>
      </c>
      <c r="G260" s="86">
        <f>G22</f>
        <v>3245.0439999999999</v>
      </c>
      <c r="H260" s="86">
        <f>H22</f>
        <v>4323.4629999999997</v>
      </c>
      <c r="I260" s="86">
        <f>I263+I266</f>
        <v>5228.1856713199995</v>
      </c>
      <c r="J260" s="86">
        <f t="shared" ref="J260:O260" si="108">J263+J266</f>
        <v>6054.8919508439994</v>
      </c>
      <c r="K260" s="86">
        <f t="shared" si="108"/>
        <v>6856.1205770304005</v>
      </c>
      <c r="L260" s="86">
        <f t="shared" si="108"/>
        <v>7719.7285466929443</v>
      </c>
      <c r="M260" s="86">
        <f t="shared" si="108"/>
        <v>8642.1777056721403</v>
      </c>
      <c r="N260" s="86">
        <f t="shared" si="108"/>
        <v>9450.1703887746571</v>
      </c>
      <c r="O260" s="86">
        <f t="shared" si="108"/>
        <v>10221.808871509924</v>
      </c>
    </row>
    <row r="261" spans="2:15" x14ac:dyDescent="0.55000000000000004">
      <c r="B261" s="66" t="s">
        <v>243</v>
      </c>
      <c r="C261" s="86"/>
      <c r="D261" s="86"/>
      <c r="E261" s="86"/>
      <c r="F261" s="86"/>
      <c r="G261" s="134">
        <f t="shared" ref="G261:O261" si="109">G260/F260-1</f>
        <v>0.56701291790267438</v>
      </c>
      <c r="H261" s="134">
        <f t="shared" si="109"/>
        <v>0.33232800541379404</v>
      </c>
      <c r="I261" s="134">
        <f t="shared" si="109"/>
        <v>0.20925879817174331</v>
      </c>
      <c r="J261" s="134">
        <f t="shared" si="109"/>
        <v>0.15812488911000644</v>
      </c>
      <c r="K261" s="134">
        <f t="shared" si="109"/>
        <v>0.13232748539380901</v>
      </c>
      <c r="L261" s="134">
        <f t="shared" si="109"/>
        <v>0.12596160758254915</v>
      </c>
      <c r="M261" s="134">
        <f t="shared" si="109"/>
        <v>0.11949243466266224</v>
      </c>
      <c r="N261" s="134">
        <f t="shared" si="109"/>
        <v>9.3494106534306232E-2</v>
      </c>
      <c r="O261" s="134">
        <f t="shared" si="109"/>
        <v>8.1653393641648364E-2</v>
      </c>
    </row>
    <row r="262" spans="2:15" x14ac:dyDescent="0.55000000000000004">
      <c r="B262" s="66"/>
      <c r="C262" s="86"/>
      <c r="D262" s="86"/>
      <c r="E262" s="86"/>
      <c r="F262" s="86"/>
      <c r="G262" s="134"/>
      <c r="H262" s="134"/>
      <c r="I262" s="134"/>
      <c r="J262" s="134"/>
      <c r="K262" s="134"/>
      <c r="L262" s="134"/>
      <c r="M262" s="134"/>
      <c r="N262" s="134"/>
      <c r="O262" s="134"/>
    </row>
    <row r="263" spans="2:15" x14ac:dyDescent="0.55000000000000004">
      <c r="B263" s="66" t="s">
        <v>422</v>
      </c>
      <c r="C263" s="69"/>
      <c r="D263" s="69"/>
      <c r="E263" s="69"/>
      <c r="F263" s="69">
        <f>BNPL!B48</f>
        <v>601</v>
      </c>
      <c r="G263" s="69">
        <f>BNPL!C48</f>
        <v>588.15100000000029</v>
      </c>
      <c r="H263" s="69">
        <f>BNPL!D48</f>
        <v>755.17099999999937</v>
      </c>
      <c r="I263" s="69">
        <f>BNPL!E48</f>
        <v>891.89099999999996</v>
      </c>
      <c r="J263" s="69">
        <f>BNPL!F48</f>
        <v>1114.86375</v>
      </c>
      <c r="K263" s="69">
        <f>BNPL!G48</f>
        <v>1427.0256000000004</v>
      </c>
      <c r="L263" s="69">
        <f>BNPL!H48</f>
        <v>1783.7820000000004</v>
      </c>
      <c r="M263" s="69">
        <f>BNPL!I48</f>
        <v>2140.5384000000004</v>
      </c>
      <c r="N263" s="69">
        <f>BNPL!J48</f>
        <v>2461.6191600000006</v>
      </c>
      <c r="O263" s="69">
        <f>BNPL!K48</f>
        <v>2830.8620339999998</v>
      </c>
    </row>
    <row r="264" spans="2:15" x14ac:dyDescent="0.55000000000000004">
      <c r="B264" s="66" t="s">
        <v>586</v>
      </c>
      <c r="C264" s="69"/>
      <c r="D264" s="69"/>
      <c r="E264" s="69"/>
      <c r="F264" s="134">
        <f t="shared" ref="F264:O264" si="110">F263/F260</f>
        <v>0.29021941263647189</v>
      </c>
      <c r="G264" s="134">
        <f t="shared" si="110"/>
        <v>0.18124592455448996</v>
      </c>
      <c r="H264" s="134">
        <f t="shared" si="110"/>
        <v>0.17466808435737727</v>
      </c>
      <c r="I264" s="134">
        <f t="shared" si="110"/>
        <v>0.17059283202059988</v>
      </c>
      <c r="J264" s="134">
        <f t="shared" si="110"/>
        <v>0.18412611803000012</v>
      </c>
      <c r="K264" s="134">
        <f t="shared" si="110"/>
        <v>0.20813892987542668</v>
      </c>
      <c r="L264" s="134">
        <f t="shared" si="110"/>
        <v>0.23106796945135527</v>
      </c>
      <c r="M264" s="134">
        <f t="shared" si="110"/>
        <v>0.24768507115921673</v>
      </c>
      <c r="N264" s="134">
        <f t="shared" si="110"/>
        <v>0.26048410332622407</v>
      </c>
      <c r="O264" s="134">
        <f t="shared" si="110"/>
        <v>0.27694335411515442</v>
      </c>
    </row>
    <row r="265" spans="2:15" x14ac:dyDescent="0.55000000000000004">
      <c r="B265" s="66"/>
      <c r="C265" s="69"/>
      <c r="D265" s="69"/>
      <c r="E265" s="69"/>
      <c r="F265" s="69"/>
      <c r="G265" s="69"/>
      <c r="H265" s="69"/>
      <c r="I265" s="69"/>
      <c r="J265" s="69"/>
      <c r="K265" s="69"/>
      <c r="L265" s="69"/>
      <c r="M265" s="69"/>
      <c r="N265" s="69"/>
      <c r="O265" s="69"/>
    </row>
    <row r="266" spans="2:15" x14ac:dyDescent="0.55000000000000004">
      <c r="B266" s="67" t="s">
        <v>671</v>
      </c>
      <c r="C266" s="86"/>
      <c r="D266" s="86"/>
      <c r="E266" s="86"/>
      <c r="F266" s="86">
        <f>F260-F263</f>
        <v>1469.8470000000002</v>
      </c>
      <c r="G266" s="86">
        <f>G260-G263</f>
        <v>2656.8929999999996</v>
      </c>
      <c r="H266" s="86">
        <f>H260-H263</f>
        <v>3568.2920000000004</v>
      </c>
      <c r="I266" s="86">
        <f>I271+I270</f>
        <v>4336.2946713199999</v>
      </c>
      <c r="J266" s="86">
        <f t="shared" ref="J266:O266" si="111">J271+J270</f>
        <v>4940.0282008439999</v>
      </c>
      <c r="K266" s="86">
        <f t="shared" si="111"/>
        <v>5429.0949770304005</v>
      </c>
      <c r="L266" s="86">
        <f t="shared" si="111"/>
        <v>5935.9465466929441</v>
      </c>
      <c r="M266" s="86">
        <f t="shared" si="111"/>
        <v>6501.6393056721408</v>
      </c>
      <c r="N266" s="86">
        <f t="shared" si="111"/>
        <v>6988.551228774656</v>
      </c>
      <c r="O266" s="86">
        <f t="shared" si="111"/>
        <v>7390.9468375099241</v>
      </c>
    </row>
    <row r="267" spans="2:15" x14ac:dyDescent="0.55000000000000004">
      <c r="B267" s="66"/>
      <c r="C267" s="69"/>
      <c r="D267" s="69"/>
      <c r="E267" s="69"/>
      <c r="F267" s="69"/>
      <c r="G267" s="69"/>
      <c r="H267" s="69"/>
      <c r="I267" s="66"/>
      <c r="J267" s="66"/>
      <c r="K267" s="66"/>
      <c r="L267" s="66"/>
      <c r="M267" s="66"/>
      <c r="N267" s="66"/>
      <c r="O267" s="66"/>
    </row>
    <row r="268" spans="2:15" x14ac:dyDescent="0.55000000000000004">
      <c r="B268" s="66" t="s">
        <v>420</v>
      </c>
      <c r="C268" s="69"/>
      <c r="D268" s="69"/>
      <c r="E268" s="69"/>
      <c r="F268" s="69"/>
      <c r="G268" s="135">
        <f t="shared" ref="G268:O268" si="112">G266/(G245*1000)</f>
        <v>1.3130185322461079E-2</v>
      </c>
      <c r="H268" s="135">
        <f t="shared" si="112"/>
        <v>1.4424568268546668E-2</v>
      </c>
      <c r="I268" s="135">
        <f t="shared" si="112"/>
        <v>1.5056879035885928E-2</v>
      </c>
      <c r="J268" s="135">
        <f t="shared" si="112"/>
        <v>1.4813229679767725E-2</v>
      </c>
      <c r="K268" s="135">
        <f t="shared" si="112"/>
        <v>1.4130119995619184E-2</v>
      </c>
      <c r="L268" s="135">
        <f t="shared" si="112"/>
        <v>1.3716910504888146E-2</v>
      </c>
      <c r="M268" s="135">
        <f t="shared" si="112"/>
        <v>1.3698028215598066E-2</v>
      </c>
      <c r="N268" s="135">
        <f t="shared" si="112"/>
        <v>1.3811080974910933E-2</v>
      </c>
      <c r="O268" s="135">
        <f t="shared" si="112"/>
        <v>1.3970018015438533E-2</v>
      </c>
    </row>
    <row r="269" spans="2:15" x14ac:dyDescent="0.55000000000000004">
      <c r="B269" s="66"/>
      <c r="C269" s="69"/>
      <c r="D269" s="69"/>
      <c r="E269" s="69"/>
      <c r="F269" s="69"/>
      <c r="G269" s="69"/>
      <c r="H269" s="134"/>
      <c r="I269" s="66"/>
      <c r="J269" s="66"/>
      <c r="K269" s="66"/>
      <c r="L269" s="66"/>
      <c r="M269" s="66"/>
      <c r="N269" s="66"/>
      <c r="O269" s="66"/>
    </row>
    <row r="270" spans="2:15" x14ac:dyDescent="0.55000000000000004">
      <c r="B270" s="87" t="s">
        <v>427</v>
      </c>
      <c r="C270" s="88"/>
      <c r="D270" s="88"/>
      <c r="E270" s="88"/>
      <c r="F270" s="88"/>
      <c r="G270" s="88">
        <f>G282</f>
        <v>156.12299999999959</v>
      </c>
      <c r="H270" s="88">
        <f t="shared" ref="H270:O270" si="113">H282</f>
        <v>205.18900000000031</v>
      </c>
      <c r="I270" s="88">
        <f t="shared" si="113"/>
        <v>297.86675072000003</v>
      </c>
      <c r="J270" s="88">
        <f t="shared" si="113"/>
        <v>301.59008510400002</v>
      </c>
      <c r="K270" s="88">
        <f t="shared" si="113"/>
        <v>304.94108604960007</v>
      </c>
      <c r="L270" s="88">
        <f t="shared" si="113"/>
        <v>307.87321187700007</v>
      </c>
      <c r="M270" s="88">
        <f t="shared" si="113"/>
        <v>310.33619757201603</v>
      </c>
      <c r="N270" s="88">
        <f t="shared" si="113"/>
        <v>312.27579880684112</v>
      </c>
      <c r="O270" s="88">
        <f t="shared" si="113"/>
        <v>313.63351967121872</v>
      </c>
    </row>
    <row r="271" spans="2:15" x14ac:dyDescent="0.55000000000000004">
      <c r="B271" s="67" t="s">
        <v>428</v>
      </c>
      <c r="C271" s="86"/>
      <c r="D271" s="86"/>
      <c r="E271" s="86"/>
      <c r="F271" s="86"/>
      <c r="G271" s="86">
        <f>G266-G270</f>
        <v>2500.77</v>
      </c>
      <c r="H271" s="86">
        <f>H266-H270</f>
        <v>3363.1030000000001</v>
      </c>
      <c r="I271" s="86">
        <f>I288</f>
        <v>4038.4279206000001</v>
      </c>
      <c r="J271" s="86">
        <f t="shared" ref="J271:O271" si="114">J288</f>
        <v>4638.4381157400003</v>
      </c>
      <c r="K271" s="86">
        <f t="shared" si="114"/>
        <v>5124.1538909808005</v>
      </c>
      <c r="L271" s="86">
        <f t="shared" si="114"/>
        <v>5628.0733348159438</v>
      </c>
      <c r="M271" s="86">
        <f t="shared" si="114"/>
        <v>6191.3031081001245</v>
      </c>
      <c r="N271" s="86">
        <f t="shared" si="114"/>
        <v>6676.2754299678145</v>
      </c>
      <c r="O271" s="86">
        <f t="shared" si="114"/>
        <v>7077.3133178387052</v>
      </c>
    </row>
    <row r="272" spans="2:15" x14ac:dyDescent="0.55000000000000004">
      <c r="B272" s="66" t="s">
        <v>429</v>
      </c>
      <c r="C272" s="69"/>
      <c r="D272" s="69"/>
      <c r="E272" s="69"/>
      <c r="F272" s="69"/>
      <c r="G272" s="135">
        <f t="shared" ref="G272:O272" si="115">G271/(G245*1000)</f>
        <v>1.2358636026686434E-2</v>
      </c>
      <c r="H272" s="135">
        <f t="shared" si="115"/>
        <v>1.3595106235043012E-2</v>
      </c>
      <c r="I272" s="135">
        <f t="shared" si="115"/>
        <v>1.4022598855605152E-2</v>
      </c>
      <c r="J272" s="135">
        <f t="shared" si="115"/>
        <v>1.3908877919382437E-2</v>
      </c>
      <c r="K272" s="135">
        <f t="shared" si="115"/>
        <v>1.3336460250172599E-2</v>
      </c>
      <c r="L272" s="135">
        <f t="shared" si="115"/>
        <v>1.3005470591986293E-2</v>
      </c>
      <c r="M272" s="135">
        <f t="shared" si="115"/>
        <v>1.3044194037661702E-2</v>
      </c>
      <c r="N272" s="135">
        <f t="shared" si="115"/>
        <v>1.3193947866396469E-2</v>
      </c>
      <c r="O272" s="135">
        <f t="shared" si="115"/>
        <v>1.3377202775878715E-2</v>
      </c>
    </row>
    <row r="273" spans="1:15" x14ac:dyDescent="0.55000000000000004">
      <c r="B273" s="66"/>
      <c r="C273" s="69"/>
      <c r="D273" s="69"/>
      <c r="E273" s="69"/>
      <c r="F273" s="69"/>
      <c r="G273" s="69"/>
      <c r="H273" s="69"/>
      <c r="I273" s="66"/>
      <c r="J273" s="66"/>
      <c r="K273" s="66"/>
      <c r="L273" s="66"/>
      <c r="M273" s="66"/>
      <c r="N273" s="66"/>
      <c r="O273" s="66"/>
    </row>
    <row r="274" spans="1:15" x14ac:dyDescent="0.55000000000000004">
      <c r="A274" s="66"/>
      <c r="B274" s="67" t="s">
        <v>390</v>
      </c>
      <c r="C274" s="69"/>
      <c r="D274" s="69"/>
      <c r="E274" s="69"/>
      <c r="F274" s="69"/>
      <c r="G274" s="69"/>
      <c r="H274" s="69"/>
      <c r="I274" s="66"/>
      <c r="J274" s="66"/>
      <c r="K274" s="66"/>
      <c r="L274" s="66"/>
      <c r="M274" s="66"/>
      <c r="N274" s="66"/>
      <c r="O274" s="66"/>
    </row>
    <row r="275" spans="1:15" x14ac:dyDescent="0.55000000000000004">
      <c r="A275" s="66"/>
      <c r="B275" s="66" t="s">
        <v>90</v>
      </c>
      <c r="C275" s="69"/>
      <c r="D275" s="69"/>
      <c r="E275" s="69"/>
      <c r="F275" s="69"/>
      <c r="G275" s="69">
        <f>G40</f>
        <v>7112.8559999999998</v>
      </c>
      <c r="H275" s="69">
        <f>H40</f>
        <v>9498.3019999999997</v>
      </c>
      <c r="I275" s="69">
        <f>(1+I276)*H275</f>
        <v>10638.098240000001</v>
      </c>
      <c r="J275" s="69">
        <f t="shared" ref="J275:O275" si="116">(1+J276)*I275</f>
        <v>11170.003152000001</v>
      </c>
      <c r="K275" s="69">
        <f t="shared" si="116"/>
        <v>11728.503309600002</v>
      </c>
      <c r="L275" s="69">
        <f t="shared" si="116"/>
        <v>12314.928475080003</v>
      </c>
      <c r="M275" s="69">
        <f t="shared" si="116"/>
        <v>12930.674898834004</v>
      </c>
      <c r="N275" s="69">
        <f t="shared" si="116"/>
        <v>13577.208643775704</v>
      </c>
      <c r="O275" s="69">
        <f t="shared" si="116"/>
        <v>14256.069075964489</v>
      </c>
    </row>
    <row r="276" spans="1:15" x14ac:dyDescent="0.55000000000000004">
      <c r="A276" s="66"/>
      <c r="B276" s="66" t="s">
        <v>393</v>
      </c>
      <c r="C276" s="69"/>
      <c r="D276" s="69"/>
      <c r="E276" s="69"/>
      <c r="F276" s="69"/>
      <c r="G276" s="69"/>
      <c r="H276" s="69"/>
      <c r="I276" s="138">
        <v>0.12</v>
      </c>
      <c r="J276" s="138">
        <v>0.05</v>
      </c>
      <c r="K276" s="138">
        <v>0.05</v>
      </c>
      <c r="L276" s="138">
        <v>0.05</v>
      </c>
      <c r="M276" s="138">
        <v>0.05</v>
      </c>
      <c r="N276" s="138">
        <v>0.05</v>
      </c>
      <c r="O276" s="138">
        <v>0.05</v>
      </c>
    </row>
    <row r="277" spans="1:15" x14ac:dyDescent="0.55000000000000004">
      <c r="A277" s="66"/>
      <c r="B277" s="66"/>
      <c r="C277" s="69"/>
      <c r="D277" s="69"/>
      <c r="E277" s="69"/>
      <c r="F277" s="69"/>
      <c r="G277" s="69"/>
      <c r="H277" s="69"/>
      <c r="I277" s="66"/>
      <c r="J277" s="66"/>
      <c r="K277" s="66"/>
      <c r="L277" s="66"/>
      <c r="M277" s="66"/>
      <c r="N277" s="66"/>
      <c r="O277" s="66"/>
    </row>
    <row r="278" spans="1:15" x14ac:dyDescent="0.55000000000000004">
      <c r="A278" s="66"/>
      <c r="B278" s="66" t="s">
        <v>1176</v>
      </c>
      <c r="C278" s="69"/>
      <c r="D278" s="69"/>
      <c r="E278" s="69"/>
      <c r="F278" s="69"/>
      <c r="G278" s="69"/>
      <c r="H278" s="69">
        <f>AVERAGE(Interims!L281:O281)</f>
        <v>28715</v>
      </c>
      <c r="I278" s="69">
        <f>AVERAGE(Interims!P281:S281)</f>
        <v>59739.5</v>
      </c>
      <c r="J278" s="177">
        <v>60000</v>
      </c>
      <c r="K278" s="177">
        <f>J278</f>
        <v>60000</v>
      </c>
      <c r="L278" s="177">
        <f>K278</f>
        <v>60000</v>
      </c>
      <c r="M278" s="177">
        <f>L278</f>
        <v>60000</v>
      </c>
      <c r="N278" s="177">
        <f>M278</f>
        <v>60000</v>
      </c>
      <c r="O278" s="177">
        <f>N278</f>
        <v>60000</v>
      </c>
    </row>
    <row r="279" spans="1:15" x14ac:dyDescent="0.55000000000000004">
      <c r="A279" s="66"/>
      <c r="B279" s="66" t="s">
        <v>602</v>
      </c>
      <c r="C279" s="69"/>
      <c r="D279" s="69"/>
      <c r="E279" s="69"/>
      <c r="F279" s="69"/>
      <c r="G279" s="69"/>
      <c r="H279" s="69">
        <f>H275*1000000/H278</f>
        <v>330778.40849730105</v>
      </c>
      <c r="I279" s="69">
        <f t="shared" ref="I279:O279" si="117">I275*1000000/I278</f>
        <v>178074.77866403305</v>
      </c>
      <c r="J279" s="69">
        <f t="shared" si="117"/>
        <v>186166.71920000002</v>
      </c>
      <c r="K279" s="69">
        <f t="shared" si="117"/>
        <v>195475.05516000005</v>
      </c>
      <c r="L279" s="69">
        <f t="shared" si="117"/>
        <v>205248.80791800006</v>
      </c>
      <c r="M279" s="69">
        <f t="shared" si="117"/>
        <v>215511.24831390005</v>
      </c>
      <c r="N279" s="69">
        <f t="shared" si="117"/>
        <v>226286.81072959505</v>
      </c>
      <c r="O279" s="69">
        <f t="shared" si="117"/>
        <v>237601.15126607483</v>
      </c>
    </row>
    <row r="280" spans="1:15" x14ac:dyDescent="0.55000000000000004">
      <c r="A280" s="66"/>
      <c r="B280" s="66"/>
      <c r="C280" s="69"/>
      <c r="D280" s="69"/>
      <c r="E280" s="69"/>
      <c r="F280" s="69"/>
      <c r="G280" s="69"/>
      <c r="H280" s="69"/>
      <c r="I280" s="66"/>
      <c r="J280" s="66"/>
      <c r="K280" s="66"/>
      <c r="L280" s="66"/>
      <c r="M280" s="66"/>
      <c r="N280" s="66"/>
      <c r="O280" s="66"/>
    </row>
    <row r="281" spans="1:15" x14ac:dyDescent="0.55000000000000004">
      <c r="A281" s="66"/>
      <c r="B281" s="66" t="s">
        <v>391</v>
      </c>
      <c r="C281" s="69"/>
      <c r="D281" s="69"/>
      <c r="E281" s="69"/>
      <c r="F281" s="69"/>
      <c r="G281" s="69">
        <f>G51</f>
        <v>6956.7330000000002</v>
      </c>
      <c r="H281" s="69">
        <f>H51</f>
        <v>9293.1129999999994</v>
      </c>
      <c r="I281" s="69">
        <f>I275-I282</f>
        <v>10340.23148928</v>
      </c>
      <c r="J281" s="69">
        <f t="shared" ref="J281:O281" si="118">J275-J282</f>
        <v>10868.413066896001</v>
      </c>
      <c r="K281" s="69">
        <f t="shared" si="118"/>
        <v>11423.562223550402</v>
      </c>
      <c r="L281" s="69">
        <f t="shared" si="118"/>
        <v>12007.055263203003</v>
      </c>
      <c r="M281" s="69">
        <f t="shared" si="118"/>
        <v>12620.338701261988</v>
      </c>
      <c r="N281" s="69">
        <f t="shared" si="118"/>
        <v>13264.932844968864</v>
      </c>
      <c r="O281" s="69">
        <f t="shared" si="118"/>
        <v>13942.435556293271</v>
      </c>
    </row>
    <row r="282" spans="1:15" x14ac:dyDescent="0.55000000000000004">
      <c r="A282" s="66"/>
      <c r="B282" s="66" t="s">
        <v>468</v>
      </c>
      <c r="C282" s="69"/>
      <c r="D282" s="69"/>
      <c r="E282" s="69"/>
      <c r="F282" s="69"/>
      <c r="G282" s="69">
        <f>G275-G281</f>
        <v>156.12299999999959</v>
      </c>
      <c r="H282" s="69">
        <f>H275-H281</f>
        <v>205.18900000000031</v>
      </c>
      <c r="I282" s="69">
        <f>I284*I275</f>
        <v>297.86675072000003</v>
      </c>
      <c r="J282" s="69">
        <f t="shared" ref="J282:O282" si="119">J284*J275</f>
        <v>301.59008510400002</v>
      </c>
      <c r="K282" s="69">
        <f t="shared" si="119"/>
        <v>304.94108604960007</v>
      </c>
      <c r="L282" s="69">
        <f t="shared" si="119"/>
        <v>307.87321187700007</v>
      </c>
      <c r="M282" s="69">
        <f t="shared" si="119"/>
        <v>310.33619757201603</v>
      </c>
      <c r="N282" s="69">
        <f t="shared" si="119"/>
        <v>312.27579880684112</v>
      </c>
      <c r="O282" s="69">
        <f t="shared" si="119"/>
        <v>313.63351967121872</v>
      </c>
    </row>
    <row r="283" spans="1:15" x14ac:dyDescent="0.55000000000000004">
      <c r="A283" s="66"/>
      <c r="B283" s="66" t="s">
        <v>586</v>
      </c>
      <c r="C283" s="69"/>
      <c r="D283" s="69"/>
      <c r="E283" s="69"/>
      <c r="F283" s="69"/>
      <c r="G283" s="69"/>
      <c r="H283" s="134">
        <f t="shared" ref="H283:O283" si="120">H282/H260</f>
        <v>4.745940927446362E-2</v>
      </c>
      <c r="I283" s="134">
        <f t="shared" si="120"/>
        <v>5.6973254097304346E-2</v>
      </c>
      <c r="J283" s="134">
        <f t="shared" si="120"/>
        <v>4.9809325674583009E-2</v>
      </c>
      <c r="K283" s="134">
        <f t="shared" si="120"/>
        <v>4.4477205822666489E-2</v>
      </c>
      <c r="L283" s="134">
        <f t="shared" si="120"/>
        <v>3.9881352046878635E-2</v>
      </c>
      <c r="M283" s="134">
        <f t="shared" si="120"/>
        <v>3.5909490424888203E-2</v>
      </c>
      <c r="N283" s="134">
        <f t="shared" si="120"/>
        <v>3.3044462264699113E-2</v>
      </c>
      <c r="O283" s="134">
        <f t="shared" si="120"/>
        <v>3.0682780671567191E-2</v>
      </c>
    </row>
    <row r="284" spans="1:15" x14ac:dyDescent="0.55000000000000004">
      <c r="A284" s="66"/>
      <c r="B284" s="66" t="s">
        <v>392</v>
      </c>
      <c r="C284" s="69"/>
      <c r="D284" s="69"/>
      <c r="E284" s="69"/>
      <c r="F284" s="69"/>
      <c r="G284" s="171">
        <f>G282/G275</f>
        <v>2.194941103826643E-2</v>
      </c>
      <c r="H284" s="171">
        <f>H282/H275</f>
        <v>2.1602703304232727E-2</v>
      </c>
      <c r="I284" s="138">
        <v>2.8000000000000001E-2</v>
      </c>
      <c r="J284" s="138">
        <v>2.7E-2</v>
      </c>
      <c r="K284" s="138">
        <v>2.5999999999999999E-2</v>
      </c>
      <c r="L284" s="138">
        <f>K284-0.1%</f>
        <v>2.4999999999999998E-2</v>
      </c>
      <c r="M284" s="138">
        <f>L284-0.1%</f>
        <v>2.3999999999999997E-2</v>
      </c>
      <c r="N284" s="138">
        <f>M284-0.1%</f>
        <v>2.2999999999999996E-2</v>
      </c>
      <c r="O284" s="138">
        <f>N284-0.1%</f>
        <v>2.1999999999999995E-2</v>
      </c>
    </row>
    <row r="285" spans="1:15" x14ac:dyDescent="0.55000000000000004">
      <c r="B285" s="66"/>
      <c r="C285" s="69"/>
      <c r="D285" s="69"/>
      <c r="E285" s="69"/>
      <c r="F285" s="69"/>
      <c r="G285" s="69"/>
      <c r="H285" s="69"/>
      <c r="I285" s="66"/>
      <c r="J285" s="66"/>
      <c r="K285" s="66"/>
      <c r="L285" s="66"/>
      <c r="M285" s="66"/>
      <c r="N285" s="66"/>
      <c r="O285" s="66"/>
    </row>
    <row r="286" spans="1:15" x14ac:dyDescent="0.55000000000000004">
      <c r="B286" s="67" t="s">
        <v>643</v>
      </c>
      <c r="C286" s="86"/>
      <c r="D286" s="86"/>
      <c r="E286" s="86"/>
      <c r="F286" s="86"/>
      <c r="G286" s="86">
        <f>G253-G255-G275</f>
        <v>3107.5640000000003</v>
      </c>
      <c r="H286" s="86">
        <f>H253-H255-H275</f>
        <v>4136.2910000000011</v>
      </c>
      <c r="I286" s="86">
        <f>I288/I289</f>
        <v>4836.4406234730541</v>
      </c>
      <c r="J286" s="86">
        <f t="shared" ref="J286:O286" si="121">J288/J289</f>
        <v>5555.0157074730541</v>
      </c>
      <c r="K286" s="86">
        <f t="shared" si="121"/>
        <v>6136.7112466835933</v>
      </c>
      <c r="L286" s="86">
        <f t="shared" si="121"/>
        <v>6740.2075866059213</v>
      </c>
      <c r="M286" s="86">
        <f t="shared" si="121"/>
        <v>7414.7342611977547</v>
      </c>
      <c r="N286" s="86">
        <f t="shared" si="121"/>
        <v>7995.5394370872036</v>
      </c>
      <c r="O286" s="86">
        <f t="shared" si="121"/>
        <v>8475.8243327409655</v>
      </c>
    </row>
    <row r="287" spans="1:15" x14ac:dyDescent="0.55000000000000004">
      <c r="B287" s="67" t="s">
        <v>393</v>
      </c>
      <c r="C287" s="69"/>
      <c r="D287" s="69"/>
      <c r="E287" s="69"/>
      <c r="F287" s="69"/>
      <c r="G287" s="69"/>
      <c r="H287" s="180">
        <f>H286/G286-1</f>
        <v>0.33103968252946703</v>
      </c>
      <c r="I287" s="180">
        <f t="shared" ref="I287:O287" si="122">I286/H286-1</f>
        <v>0.16926991439264127</v>
      </c>
      <c r="J287" s="180">
        <f t="shared" si="122"/>
        <v>0.1485751898849923</v>
      </c>
      <c r="K287" s="180">
        <f t="shared" si="122"/>
        <v>0.10471537252864938</v>
      </c>
      <c r="L287" s="180">
        <f t="shared" si="122"/>
        <v>9.8341980853094535E-2</v>
      </c>
      <c r="M287" s="180">
        <f t="shared" si="122"/>
        <v>0.10007505939909733</v>
      </c>
      <c r="N287" s="180">
        <f t="shared" si="122"/>
        <v>7.8331219357229864E-2</v>
      </c>
      <c r="O287" s="180">
        <f t="shared" si="122"/>
        <v>6.0069104709304044E-2</v>
      </c>
    </row>
    <row r="288" spans="1:15" x14ac:dyDescent="0.55000000000000004">
      <c r="B288" s="67" t="s">
        <v>648</v>
      </c>
      <c r="C288" s="69"/>
      <c r="D288" s="69"/>
      <c r="E288" s="69"/>
      <c r="F288" s="69"/>
      <c r="G288" s="69">
        <f>G271</f>
        <v>2500.77</v>
      </c>
      <c r="H288" s="69">
        <f>H271</f>
        <v>3363.1030000000001</v>
      </c>
      <c r="I288" s="69">
        <f t="shared" ref="I288:O288" si="123">I292+I363+I368</f>
        <v>4038.4279206000001</v>
      </c>
      <c r="J288" s="69">
        <f t="shared" si="123"/>
        <v>4638.4381157400003</v>
      </c>
      <c r="K288" s="69">
        <f t="shared" si="123"/>
        <v>5124.1538909808005</v>
      </c>
      <c r="L288" s="69">
        <f t="shared" si="123"/>
        <v>5628.0733348159438</v>
      </c>
      <c r="M288" s="69">
        <f t="shared" si="123"/>
        <v>6191.3031081001245</v>
      </c>
      <c r="N288" s="69">
        <f t="shared" si="123"/>
        <v>6676.2754299678145</v>
      </c>
      <c r="O288" s="69">
        <f t="shared" si="123"/>
        <v>7077.3133178387052</v>
      </c>
    </row>
    <row r="289" spans="2:15" x14ac:dyDescent="0.55000000000000004">
      <c r="B289" s="67" t="s">
        <v>171</v>
      </c>
      <c r="C289" s="69"/>
      <c r="D289" s="69"/>
      <c r="E289" s="69"/>
      <c r="F289" s="69"/>
      <c r="G289" s="134">
        <f>G288/G286</f>
        <v>0.80473644307888748</v>
      </c>
      <c r="H289" s="134">
        <f>H288/H286</f>
        <v>0.81307214603614664</v>
      </c>
      <c r="I289" s="139">
        <v>0.83499999999999996</v>
      </c>
      <c r="J289" s="139">
        <v>0.83499999999999996</v>
      </c>
      <c r="K289" s="139">
        <v>0.83499999999999996</v>
      </c>
      <c r="L289" s="139">
        <v>0.83499999999999996</v>
      </c>
      <c r="M289" s="139">
        <v>0.83499999999999996</v>
      </c>
      <c r="N289" s="139">
        <v>0.83499999999999996</v>
      </c>
      <c r="O289" s="139">
        <v>0.83499999999999996</v>
      </c>
    </row>
    <row r="290" spans="2:15" x14ac:dyDescent="0.55000000000000004">
      <c r="B290" s="67"/>
      <c r="C290" s="69"/>
      <c r="D290" s="69"/>
      <c r="E290" s="69"/>
      <c r="F290" s="69"/>
      <c r="G290" s="69"/>
      <c r="H290" s="180"/>
      <c r="I290" s="180"/>
      <c r="J290" s="180"/>
      <c r="K290" s="180"/>
      <c r="L290" s="180"/>
      <c r="M290" s="180"/>
      <c r="N290" s="180"/>
      <c r="O290" s="180"/>
    </row>
    <row r="291" spans="2:15" x14ac:dyDescent="0.55000000000000004">
      <c r="B291" s="67" t="s">
        <v>724</v>
      </c>
      <c r="C291" s="69"/>
      <c r="D291" s="69"/>
      <c r="E291" s="69"/>
      <c r="F291" s="69"/>
      <c r="G291" s="69"/>
      <c r="H291" s="69"/>
      <c r="I291" s="66"/>
      <c r="J291" s="66"/>
      <c r="K291" s="66"/>
      <c r="L291" s="66"/>
      <c r="M291" s="66"/>
      <c r="N291" s="66"/>
      <c r="O291" s="66"/>
    </row>
    <row r="292" spans="2:15" x14ac:dyDescent="0.55000000000000004">
      <c r="B292" s="66" t="s">
        <v>725</v>
      </c>
      <c r="C292" s="69"/>
      <c r="D292" s="69"/>
      <c r="E292" s="69"/>
      <c r="F292" s="69"/>
      <c r="G292" s="69">
        <f>0.38*G266</f>
        <v>1009.6193399999999</v>
      </c>
      <c r="H292" s="69">
        <f>H296*H260</f>
        <v>1642.9159399999999</v>
      </c>
      <c r="I292" s="69">
        <f>(1+I293)*H292</f>
        <v>2217.9365189999999</v>
      </c>
      <c r="J292" s="69">
        <f t="shared" ref="J292:O292" si="124">(1+J293)*I292</f>
        <v>2750.2412835599998</v>
      </c>
      <c r="K292" s="69">
        <f t="shared" si="124"/>
        <v>3245.2847146007998</v>
      </c>
      <c r="L292" s="69">
        <f t="shared" si="124"/>
        <v>3829.4359632289434</v>
      </c>
      <c r="M292" s="69">
        <f t="shared" si="124"/>
        <v>4442.1457173455738</v>
      </c>
      <c r="N292" s="69">
        <f t="shared" si="124"/>
        <v>4975.2032034270433</v>
      </c>
      <c r="O292" s="69">
        <f t="shared" si="124"/>
        <v>5422.9714917354777</v>
      </c>
    </row>
    <row r="293" spans="2:15" x14ac:dyDescent="0.55000000000000004">
      <c r="B293" s="66" t="s">
        <v>243</v>
      </c>
      <c r="C293" s="69"/>
      <c r="D293" s="69"/>
      <c r="E293" s="69"/>
      <c r="F293" s="69"/>
      <c r="G293" s="69"/>
      <c r="H293" s="134">
        <f>H292/G292-1</f>
        <v>0.62726274637330159</v>
      </c>
      <c r="I293" s="138">
        <v>0.35</v>
      </c>
      <c r="J293" s="138">
        <v>0.24</v>
      </c>
      <c r="K293" s="138">
        <v>0.18</v>
      </c>
      <c r="L293" s="138">
        <v>0.18</v>
      </c>
      <c r="M293" s="138">
        <v>0.16</v>
      </c>
      <c r="N293" s="138">
        <v>0.12</v>
      </c>
      <c r="O293" s="138">
        <v>0.09</v>
      </c>
    </row>
    <row r="294" spans="2:15" x14ac:dyDescent="0.55000000000000004">
      <c r="B294" s="187" t="s">
        <v>584</v>
      </c>
      <c r="C294" s="69"/>
      <c r="D294" s="69"/>
      <c r="E294" s="69"/>
      <c r="F294" s="69"/>
      <c r="G294" s="69"/>
      <c r="H294" s="66"/>
      <c r="I294" s="66"/>
      <c r="J294" s="66"/>
      <c r="K294" s="66"/>
      <c r="L294" s="66"/>
      <c r="M294" s="66"/>
      <c r="N294" s="66"/>
      <c r="O294" s="66"/>
    </row>
    <row r="295" spans="2:15" x14ac:dyDescent="0.55000000000000004">
      <c r="B295" s="187" t="s">
        <v>585</v>
      </c>
      <c r="C295" s="69"/>
      <c r="D295" s="69"/>
      <c r="E295" s="69"/>
      <c r="F295" s="69"/>
      <c r="G295" s="69"/>
      <c r="H295" s="69"/>
      <c r="I295" s="66"/>
      <c r="J295" s="66"/>
      <c r="K295" s="66"/>
      <c r="L295" s="66"/>
      <c r="M295" s="66"/>
      <c r="N295" s="66"/>
      <c r="O295" s="66"/>
    </row>
    <row r="296" spans="2:15" x14ac:dyDescent="0.55000000000000004">
      <c r="B296" s="66" t="s">
        <v>936</v>
      </c>
      <c r="C296" s="69"/>
      <c r="D296" s="69"/>
      <c r="E296" s="69"/>
      <c r="F296" s="69"/>
      <c r="G296" s="134">
        <f>G292/G260</f>
        <v>0.31112654866929385</v>
      </c>
      <c r="H296" s="134">
        <v>0.38</v>
      </c>
      <c r="I296" s="134">
        <f t="shared" ref="I296:O296" si="125">I292/I260</f>
        <v>0.42422680800470131</v>
      </c>
      <c r="J296" s="134">
        <f t="shared" si="125"/>
        <v>0.45421806134404102</v>
      </c>
      <c r="K296" s="134">
        <f t="shared" si="125"/>
        <v>0.47334125445127945</v>
      </c>
      <c r="L296" s="134">
        <f t="shared" si="125"/>
        <v>0.4960583704551938</v>
      </c>
      <c r="M296" s="134">
        <f t="shared" si="125"/>
        <v>0.51400768054445933</v>
      </c>
      <c r="N296" s="134">
        <f t="shared" si="125"/>
        <v>0.52646703696864727</v>
      </c>
      <c r="O296" s="134">
        <f t="shared" si="125"/>
        <v>0.53052953346156806</v>
      </c>
    </row>
    <row r="297" spans="2:15" x14ac:dyDescent="0.55000000000000004">
      <c r="B297" s="66"/>
      <c r="C297" s="69"/>
      <c r="D297" s="69"/>
      <c r="E297" s="69"/>
      <c r="F297" s="69"/>
      <c r="G297" s="69"/>
      <c r="H297" s="134"/>
      <c r="I297" s="138"/>
      <c r="J297" s="138"/>
      <c r="K297" s="138"/>
      <c r="L297" s="138"/>
      <c r="M297" s="138"/>
      <c r="N297" s="138"/>
      <c r="O297" s="138"/>
    </row>
    <row r="298" spans="2:15" x14ac:dyDescent="0.55000000000000004">
      <c r="B298" s="264" t="s">
        <v>924</v>
      </c>
      <c r="C298" s="265"/>
      <c r="D298" s="265"/>
      <c r="E298" s="265"/>
      <c r="F298" s="265"/>
      <c r="G298" s="265"/>
      <c r="H298" s="266"/>
      <c r="I298" s="267"/>
      <c r="J298" s="267"/>
      <c r="K298" s="267"/>
      <c r="L298" s="267"/>
      <c r="M298" s="267"/>
      <c r="N298" s="267"/>
      <c r="O298" s="267"/>
    </row>
    <row r="299" spans="2:15" x14ac:dyDescent="0.55000000000000004">
      <c r="B299" s="220"/>
      <c r="C299" s="69"/>
      <c r="D299" s="69"/>
      <c r="E299" s="69"/>
      <c r="F299" s="69"/>
      <c r="G299" s="69"/>
      <c r="H299" s="134"/>
      <c r="I299" s="138"/>
      <c r="J299" s="138"/>
      <c r="K299" s="138"/>
      <c r="L299" s="138"/>
      <c r="M299" s="138"/>
      <c r="N299" s="138"/>
      <c r="O299" s="138"/>
    </row>
    <row r="300" spans="2:15" x14ac:dyDescent="0.55000000000000004">
      <c r="B300" s="68" t="s">
        <v>775</v>
      </c>
      <c r="C300" s="88"/>
      <c r="D300" s="88"/>
      <c r="E300" s="88"/>
      <c r="F300" s="68">
        <f t="shared" ref="F300:O300" si="126">F2</f>
        <v>2021</v>
      </c>
      <c r="G300" s="68">
        <f t="shared" si="126"/>
        <v>2022</v>
      </c>
      <c r="H300" s="68">
        <f t="shared" si="126"/>
        <v>2023</v>
      </c>
      <c r="I300" s="68">
        <f t="shared" si="126"/>
        <v>2024</v>
      </c>
      <c r="J300" s="68">
        <f t="shared" si="126"/>
        <v>2025</v>
      </c>
      <c r="K300" s="68">
        <f t="shared" si="126"/>
        <v>2026</v>
      </c>
      <c r="L300" s="68">
        <f t="shared" si="126"/>
        <v>2027</v>
      </c>
      <c r="M300" s="68">
        <f t="shared" si="126"/>
        <v>2028</v>
      </c>
      <c r="N300" s="68">
        <f t="shared" si="126"/>
        <v>2029</v>
      </c>
      <c r="O300" s="68">
        <f t="shared" si="126"/>
        <v>2030</v>
      </c>
    </row>
    <row r="301" spans="2:15" x14ac:dyDescent="0.55000000000000004">
      <c r="B301" s="66" t="s">
        <v>771</v>
      </c>
      <c r="C301" s="69"/>
      <c r="D301" s="69"/>
      <c r="E301" s="69"/>
      <c r="F301" s="69">
        <f>Analysis!C13</f>
        <v>13</v>
      </c>
      <c r="G301" s="69">
        <f>Analysis!D13</f>
        <v>19</v>
      </c>
      <c r="H301" s="69">
        <f>Analysis!E13</f>
        <v>23</v>
      </c>
      <c r="I301" s="191">
        <v>26</v>
      </c>
      <c r="J301" s="69">
        <f t="shared" ref="J301:O301" si="127">J302*J242</f>
        <v>28.060000000000002</v>
      </c>
      <c r="K301" s="69">
        <f t="shared" si="127"/>
        <v>30.119999999999997</v>
      </c>
      <c r="L301" s="69">
        <f t="shared" si="127"/>
        <v>32.125</v>
      </c>
      <c r="M301" s="69">
        <f t="shared" si="127"/>
        <v>33.93</v>
      </c>
      <c r="N301" s="69">
        <f t="shared" si="127"/>
        <v>35.775000000000006</v>
      </c>
      <c r="O301" s="69">
        <f t="shared" si="127"/>
        <v>37.660000000000004</v>
      </c>
    </row>
    <row r="302" spans="2:15" x14ac:dyDescent="0.55000000000000004">
      <c r="B302" s="66" t="s">
        <v>935</v>
      </c>
      <c r="C302" s="69"/>
      <c r="D302" s="69"/>
      <c r="E302" s="69"/>
      <c r="F302" s="134">
        <f>F301/F242</f>
        <v>0.29545454545454547</v>
      </c>
      <c r="G302" s="134">
        <f>G301/G242</f>
        <v>0.38775510204081631</v>
      </c>
      <c r="H302" s="134">
        <f>H301/H242</f>
        <v>0.4107142857142857</v>
      </c>
      <c r="I302" s="134">
        <f>I301/I242</f>
        <v>0.44067796610169491</v>
      </c>
      <c r="J302" s="139">
        <v>0.46</v>
      </c>
      <c r="K302" s="139">
        <v>0.48</v>
      </c>
      <c r="L302" s="139">
        <v>0.5</v>
      </c>
      <c r="M302" s="139">
        <f>L302+2%</f>
        <v>0.52</v>
      </c>
      <c r="N302" s="139">
        <f>M302+2%</f>
        <v>0.54</v>
      </c>
      <c r="O302" s="139">
        <f>N302+2%</f>
        <v>0.56000000000000005</v>
      </c>
    </row>
    <row r="303" spans="2:15" x14ac:dyDescent="0.55000000000000004">
      <c r="B303" s="66" t="s">
        <v>770</v>
      </c>
      <c r="C303" s="69"/>
      <c r="D303" s="69"/>
      <c r="E303" s="69"/>
      <c r="F303" s="69">
        <f>Analysis!C14</f>
        <v>75</v>
      </c>
      <c r="G303" s="69">
        <f>Analysis!D14</f>
        <v>115</v>
      </c>
      <c r="H303" s="69">
        <f>Analysis!E14</f>
        <v>160</v>
      </c>
      <c r="I303" s="69">
        <f>I304*AVERAGE(H301,I301)/1000</f>
        <v>197.86666666666667</v>
      </c>
      <c r="J303" s="69">
        <f t="shared" ref="J303:O303" si="128">J304*AVERAGE(I301,J301)/1000</f>
        <v>231.39739428571434</v>
      </c>
      <c r="K303" s="69">
        <f t="shared" si="128"/>
        <v>263.97451763809528</v>
      </c>
      <c r="L303" s="69">
        <f t="shared" si="128"/>
        <v>299.36334619123812</v>
      </c>
      <c r="M303" s="69">
        <f t="shared" si="128"/>
        <v>333.57166237120015</v>
      </c>
      <c r="N303" s="69">
        <f t="shared" si="128"/>
        <v>366.08397902668821</v>
      </c>
      <c r="O303" s="69">
        <f t="shared" si="128"/>
        <v>397.24378896520466</v>
      </c>
    </row>
    <row r="304" spans="2:15" x14ac:dyDescent="0.55000000000000004">
      <c r="B304" s="66" t="s">
        <v>772</v>
      </c>
      <c r="C304" s="69"/>
      <c r="D304" s="69"/>
      <c r="E304" s="69"/>
      <c r="F304" s="69"/>
      <c r="G304" s="140">
        <f>G303*1000/AVERAGE(F301,G301)</f>
        <v>7187.5</v>
      </c>
      <c r="H304" s="140">
        <f>H303*1000/AVERAGE(G301,H301)</f>
        <v>7619.0476190476193</v>
      </c>
      <c r="I304" s="140">
        <f>(1+I305)*H304</f>
        <v>8076.1904761904771</v>
      </c>
      <c r="J304" s="140">
        <f t="shared" ref="J304:O304" si="129">(1+J305)*I304</f>
        <v>8560.7619047619064</v>
      </c>
      <c r="K304" s="140">
        <f t="shared" si="129"/>
        <v>9074.4076190476208</v>
      </c>
      <c r="L304" s="140">
        <f t="shared" si="129"/>
        <v>9618.8720761904788</v>
      </c>
      <c r="M304" s="140">
        <f t="shared" si="129"/>
        <v>10099.815680000003</v>
      </c>
      <c r="N304" s="140">
        <f t="shared" si="129"/>
        <v>10503.808307200004</v>
      </c>
      <c r="O304" s="140">
        <f t="shared" si="129"/>
        <v>10818.922556416004</v>
      </c>
    </row>
    <row r="305" spans="2:15" x14ac:dyDescent="0.55000000000000004">
      <c r="B305" s="66" t="s">
        <v>393</v>
      </c>
      <c r="C305" s="69"/>
      <c r="D305" s="69"/>
      <c r="E305" s="69"/>
      <c r="F305" s="69"/>
      <c r="G305" s="140"/>
      <c r="H305" s="134">
        <f>H304/G304-1</f>
        <v>6.00414078674949E-2</v>
      </c>
      <c r="I305" s="139">
        <v>0.06</v>
      </c>
      <c r="J305" s="139">
        <v>0.06</v>
      </c>
      <c r="K305" s="139">
        <v>0.06</v>
      </c>
      <c r="L305" s="139">
        <v>0.06</v>
      </c>
      <c r="M305" s="139">
        <v>0.05</v>
      </c>
      <c r="N305" s="139">
        <v>0.04</v>
      </c>
      <c r="O305" s="139">
        <v>0.03</v>
      </c>
    </row>
    <row r="306" spans="2:15" x14ac:dyDescent="0.55000000000000004">
      <c r="B306" s="66" t="s">
        <v>773</v>
      </c>
      <c r="C306" s="69"/>
      <c r="D306" s="69"/>
      <c r="E306" s="69"/>
      <c r="F306" s="69"/>
      <c r="G306" s="69">
        <f>G304/12</f>
        <v>598.95833333333337</v>
      </c>
      <c r="H306" s="69">
        <f>H304/12</f>
        <v>634.92063492063494</v>
      </c>
      <c r="I306" s="69">
        <f t="shared" ref="I306:O306" si="130">I304/12</f>
        <v>673.01587301587313</v>
      </c>
      <c r="J306" s="69">
        <f t="shared" si="130"/>
        <v>713.39682539682553</v>
      </c>
      <c r="K306" s="69">
        <f t="shared" si="130"/>
        <v>756.20063492063503</v>
      </c>
      <c r="L306" s="69">
        <f t="shared" si="130"/>
        <v>801.57267301587319</v>
      </c>
      <c r="M306" s="69">
        <f t="shared" si="130"/>
        <v>841.65130666666698</v>
      </c>
      <c r="N306" s="69">
        <f t="shared" si="130"/>
        <v>875.31735893333371</v>
      </c>
      <c r="O306" s="69">
        <f t="shared" si="130"/>
        <v>901.57687970133372</v>
      </c>
    </row>
    <row r="307" spans="2:15" x14ac:dyDescent="0.55000000000000004">
      <c r="B307" s="66" t="s">
        <v>774</v>
      </c>
      <c r="C307" s="69"/>
      <c r="D307" s="69"/>
      <c r="E307" s="69"/>
      <c r="F307" s="69"/>
      <c r="G307" s="135">
        <f>Analysis!D17</f>
        <v>7.1999999999999998E-3</v>
      </c>
      <c r="H307" s="135">
        <f>Analysis!E17</f>
        <v>7.7999999999999996E-3</v>
      </c>
      <c r="I307" s="137">
        <f>H307</f>
        <v>7.7999999999999996E-3</v>
      </c>
      <c r="J307" s="137">
        <f t="shared" ref="J307:O307" si="131">I307</f>
        <v>7.7999999999999996E-3</v>
      </c>
      <c r="K307" s="137">
        <f t="shared" si="131"/>
        <v>7.7999999999999996E-3</v>
      </c>
      <c r="L307" s="137">
        <f t="shared" si="131"/>
        <v>7.7999999999999996E-3</v>
      </c>
      <c r="M307" s="137">
        <f t="shared" si="131"/>
        <v>7.7999999999999996E-3</v>
      </c>
      <c r="N307" s="137">
        <f t="shared" si="131"/>
        <v>7.7999999999999996E-3</v>
      </c>
      <c r="O307" s="137">
        <f t="shared" si="131"/>
        <v>7.7999999999999996E-3</v>
      </c>
    </row>
    <row r="308" spans="2:15" x14ac:dyDescent="0.55000000000000004">
      <c r="B308" s="67" t="s">
        <v>156</v>
      </c>
      <c r="C308" s="86"/>
      <c r="D308" s="86"/>
      <c r="E308" s="86"/>
      <c r="F308" s="86"/>
      <c r="G308" s="236">
        <f>G303*G307*1000</f>
        <v>828</v>
      </c>
      <c r="H308" s="236">
        <f>H303*H307*1000</f>
        <v>1248</v>
      </c>
      <c r="I308" s="236">
        <f t="shared" ref="I308:O308" si="132">I303*I307*1000</f>
        <v>1543.3600000000001</v>
      </c>
      <c r="J308" s="236">
        <f t="shared" si="132"/>
        <v>1804.8996754285718</v>
      </c>
      <c r="K308" s="236">
        <f t="shared" si="132"/>
        <v>2059.001237577143</v>
      </c>
      <c r="L308" s="236">
        <f t="shared" si="132"/>
        <v>2335.0341002916571</v>
      </c>
      <c r="M308" s="236">
        <f t="shared" si="132"/>
        <v>2601.8589664953611</v>
      </c>
      <c r="N308" s="236">
        <f t="shared" si="132"/>
        <v>2855.4550364081683</v>
      </c>
      <c r="O308" s="236">
        <f t="shared" si="132"/>
        <v>3098.501553928596</v>
      </c>
    </row>
    <row r="309" spans="2:15" x14ac:dyDescent="0.55000000000000004">
      <c r="B309" s="66" t="s">
        <v>393</v>
      </c>
      <c r="C309" s="86"/>
      <c r="D309" s="86"/>
      <c r="E309" s="86"/>
      <c r="F309" s="86"/>
      <c r="G309" s="236"/>
      <c r="H309" s="134">
        <f>H308/G308-1</f>
        <v>0.50724637681159424</v>
      </c>
      <c r="I309" s="134">
        <f t="shared" ref="I309:O309" si="133">I308/H308-1</f>
        <v>0.2366666666666668</v>
      </c>
      <c r="J309" s="134">
        <f t="shared" si="133"/>
        <v>0.16946122448979595</v>
      </c>
      <c r="K309" s="134">
        <f t="shared" si="133"/>
        <v>0.14078431372549005</v>
      </c>
      <c r="L309" s="134">
        <f t="shared" si="133"/>
        <v>0.13406153317291158</v>
      </c>
      <c r="M309" s="134">
        <f t="shared" si="133"/>
        <v>0.11427022250783248</v>
      </c>
      <c r="N309" s="134">
        <f t="shared" si="133"/>
        <v>9.7467262130043419E-2</v>
      </c>
      <c r="O309" s="134">
        <f t="shared" si="133"/>
        <v>8.511656265691081E-2</v>
      </c>
    </row>
    <row r="310" spans="2:15" x14ac:dyDescent="0.55000000000000004">
      <c r="B310" s="220"/>
      <c r="C310" s="69"/>
      <c r="D310" s="69"/>
      <c r="E310" s="69"/>
      <c r="F310" s="69"/>
      <c r="G310" s="69"/>
      <c r="H310" s="134"/>
      <c r="I310" s="138"/>
      <c r="J310" s="138"/>
      <c r="K310" s="138"/>
      <c r="L310" s="138"/>
      <c r="M310" s="138"/>
      <c r="N310" s="138"/>
      <c r="O310" s="138"/>
    </row>
    <row r="311" spans="2:15" x14ac:dyDescent="0.55000000000000004">
      <c r="B311" s="68" t="s">
        <v>714</v>
      </c>
      <c r="C311" s="88"/>
      <c r="D311" s="88"/>
      <c r="E311" s="88"/>
      <c r="F311" s="88"/>
      <c r="G311" s="68">
        <f t="shared" ref="G311:O311" si="134">G2</f>
        <v>2022</v>
      </c>
      <c r="H311" s="68">
        <f t="shared" si="134"/>
        <v>2023</v>
      </c>
      <c r="I311" s="68">
        <f t="shared" si="134"/>
        <v>2024</v>
      </c>
      <c r="J311" s="68">
        <f t="shared" si="134"/>
        <v>2025</v>
      </c>
      <c r="K311" s="68">
        <f t="shared" si="134"/>
        <v>2026</v>
      </c>
      <c r="L311" s="68">
        <f t="shared" si="134"/>
        <v>2027</v>
      </c>
      <c r="M311" s="68">
        <f t="shared" si="134"/>
        <v>2028</v>
      </c>
      <c r="N311" s="68">
        <f t="shared" si="134"/>
        <v>2029</v>
      </c>
      <c r="O311" s="68">
        <f t="shared" si="134"/>
        <v>2030</v>
      </c>
    </row>
    <row r="312" spans="2:15" x14ac:dyDescent="0.55000000000000004">
      <c r="B312" s="66" t="s">
        <v>770</v>
      </c>
      <c r="C312" s="69"/>
      <c r="D312" s="69"/>
      <c r="E312" s="69"/>
      <c r="F312" s="69"/>
      <c r="G312" s="69"/>
      <c r="H312" s="173">
        <f>Analysis!C37+Analysis!D37+Analysis!E37+Analysis!F37</f>
        <v>1.7988333333333335</v>
      </c>
      <c r="I312" s="173">
        <f>(1+I313)*H312</f>
        <v>5.4864416666666669</v>
      </c>
      <c r="J312" s="173">
        <f t="shared" ref="J312:O312" si="135">(1+J313)*I312</f>
        <v>13.441782083333335</v>
      </c>
      <c r="K312" s="173">
        <f t="shared" si="135"/>
        <v>24.195207750000002</v>
      </c>
      <c r="L312" s="173">
        <f t="shared" si="135"/>
        <v>36.292811624999999</v>
      </c>
      <c r="M312" s="173">
        <f t="shared" si="135"/>
        <v>47.180655112499998</v>
      </c>
      <c r="N312" s="173">
        <f t="shared" si="135"/>
        <v>54.257753379374996</v>
      </c>
      <c r="O312" s="173">
        <f t="shared" si="135"/>
        <v>59.683528717312498</v>
      </c>
    </row>
    <row r="313" spans="2:15" x14ac:dyDescent="0.55000000000000004">
      <c r="B313" s="66" t="s">
        <v>393</v>
      </c>
      <c r="C313" s="69"/>
      <c r="D313" s="69"/>
      <c r="E313" s="69"/>
      <c r="F313" s="69"/>
      <c r="G313" s="69"/>
      <c r="H313" s="173"/>
      <c r="I313" s="138">
        <v>2.0499999999999998</v>
      </c>
      <c r="J313" s="138">
        <v>1.45</v>
      </c>
      <c r="K313" s="138">
        <v>0.8</v>
      </c>
      <c r="L313" s="138">
        <v>0.5</v>
      </c>
      <c r="M313" s="138">
        <v>0.3</v>
      </c>
      <c r="N313" s="138">
        <v>0.15</v>
      </c>
      <c r="O313" s="138">
        <v>0.1</v>
      </c>
    </row>
    <row r="314" spans="2:15" x14ac:dyDescent="0.55000000000000004">
      <c r="B314" s="66"/>
      <c r="C314" s="69"/>
      <c r="D314" s="69"/>
      <c r="E314" s="69"/>
      <c r="F314" s="69"/>
      <c r="G314" s="69"/>
      <c r="H314" s="173"/>
      <c r="I314" s="138"/>
      <c r="J314" s="138"/>
      <c r="K314" s="138"/>
      <c r="L314" s="138"/>
      <c r="M314" s="138"/>
      <c r="N314" s="138"/>
      <c r="O314" s="138"/>
    </row>
    <row r="315" spans="2:15" x14ac:dyDescent="0.55000000000000004">
      <c r="B315" s="66" t="s">
        <v>897</v>
      </c>
      <c r="C315" s="69"/>
      <c r="D315" s="69"/>
      <c r="E315" s="69"/>
      <c r="F315" s="69"/>
      <c r="G315" s="69"/>
      <c r="H315" s="173">
        <f>Analysis!E42</f>
        <v>3</v>
      </c>
      <c r="I315" s="233">
        <v>7</v>
      </c>
      <c r="J315" s="233">
        <v>11</v>
      </c>
      <c r="K315" s="173">
        <f>J315+K316</f>
        <v>15</v>
      </c>
      <c r="L315" s="173">
        <f>K315+L316</f>
        <v>18</v>
      </c>
      <c r="M315" s="173">
        <f>L315+M316</f>
        <v>21</v>
      </c>
      <c r="N315" s="173">
        <f>M315+N316</f>
        <v>24</v>
      </c>
      <c r="O315" s="173">
        <f>N315+O316</f>
        <v>27</v>
      </c>
    </row>
    <row r="316" spans="2:15" x14ac:dyDescent="0.55000000000000004">
      <c r="B316" s="66" t="s">
        <v>930</v>
      </c>
      <c r="C316" s="69"/>
      <c r="D316" s="69"/>
      <c r="E316" s="69"/>
      <c r="F316" s="69"/>
      <c r="G316" s="69"/>
      <c r="H316" s="173">
        <f>H315-G315</f>
        <v>3</v>
      </c>
      <c r="I316" s="173">
        <f>I315-H315</f>
        <v>4</v>
      </c>
      <c r="J316" s="173">
        <f>J315-I315</f>
        <v>4</v>
      </c>
      <c r="K316" s="233">
        <v>4</v>
      </c>
      <c r="L316" s="233">
        <v>3</v>
      </c>
      <c r="M316" s="233">
        <v>3</v>
      </c>
      <c r="N316" s="233">
        <v>3</v>
      </c>
      <c r="O316" s="233">
        <v>3</v>
      </c>
    </row>
    <row r="317" spans="2:15" x14ac:dyDescent="0.55000000000000004">
      <c r="B317" s="66" t="s">
        <v>931</v>
      </c>
      <c r="C317" s="69"/>
      <c r="D317" s="69"/>
      <c r="E317" s="69"/>
      <c r="F317" s="69"/>
      <c r="G317" s="69"/>
      <c r="H317" s="134">
        <f t="shared" ref="H317:O317" si="136">H315/H242</f>
        <v>5.3571428571428568E-2</v>
      </c>
      <c r="I317" s="134">
        <f t="shared" si="136"/>
        <v>0.11864406779661017</v>
      </c>
      <c r="J317" s="134">
        <f t="shared" si="136"/>
        <v>0.18032786885245902</v>
      </c>
      <c r="K317" s="134">
        <f t="shared" si="136"/>
        <v>0.23904382470119523</v>
      </c>
      <c r="L317" s="134">
        <f t="shared" si="136"/>
        <v>0.28015564202334631</v>
      </c>
      <c r="M317" s="134">
        <f t="shared" si="136"/>
        <v>0.32183908045977011</v>
      </c>
      <c r="N317" s="134">
        <f t="shared" si="136"/>
        <v>0.3622641509433962</v>
      </c>
      <c r="O317" s="134">
        <f t="shared" si="136"/>
        <v>0.40148698884758366</v>
      </c>
    </row>
    <row r="318" spans="2:15" x14ac:dyDescent="0.55000000000000004">
      <c r="B318" s="66"/>
      <c r="C318" s="69"/>
      <c r="D318" s="69"/>
      <c r="E318" s="69"/>
      <c r="F318" s="69"/>
      <c r="G318" s="69"/>
      <c r="H318" s="173"/>
      <c r="I318" s="138"/>
      <c r="J318" s="138"/>
      <c r="K318" s="138"/>
      <c r="L318" s="138"/>
      <c r="M318" s="138"/>
      <c r="N318" s="138"/>
      <c r="O318" s="138"/>
    </row>
    <row r="319" spans="2:15" x14ac:dyDescent="0.55000000000000004">
      <c r="B319" s="66" t="s">
        <v>932</v>
      </c>
      <c r="C319" s="69"/>
      <c r="D319" s="69"/>
      <c r="E319" s="69"/>
      <c r="F319" s="69"/>
      <c r="G319" s="69"/>
      <c r="H319" s="69">
        <f>H312*1000/(AVERAGE(G315,H315))</f>
        <v>599.6111111111112</v>
      </c>
      <c r="I319" s="69">
        <f>I312*1000/(AVERAGE(H315,I315))</f>
        <v>1097.2883333333334</v>
      </c>
      <c r="J319" s="69">
        <f t="shared" ref="J319:O319" si="137">J312*1000/(AVERAGE(I315,J315))</f>
        <v>1493.5313425925929</v>
      </c>
      <c r="K319" s="69">
        <f t="shared" si="137"/>
        <v>1861.1698269230769</v>
      </c>
      <c r="L319" s="69">
        <f t="shared" si="137"/>
        <v>2199.5643409090912</v>
      </c>
      <c r="M319" s="69">
        <f t="shared" si="137"/>
        <v>2419.520775</v>
      </c>
      <c r="N319" s="69">
        <f t="shared" si="137"/>
        <v>2411.4557057499997</v>
      </c>
      <c r="O319" s="69">
        <f t="shared" si="137"/>
        <v>2340.5305379338233</v>
      </c>
    </row>
    <row r="320" spans="2:15" x14ac:dyDescent="0.55000000000000004">
      <c r="B320" s="66" t="s">
        <v>393</v>
      </c>
      <c r="C320" s="69"/>
      <c r="D320" s="69"/>
      <c r="E320" s="69"/>
      <c r="F320" s="69"/>
      <c r="G320" s="69"/>
      <c r="H320" s="173"/>
      <c r="I320" s="134">
        <f>I319/H319-1</f>
        <v>0.82999999999999985</v>
      </c>
      <c r="J320" s="134">
        <f t="shared" ref="J320:O320" si="138">J319/I319-1</f>
        <v>0.36111111111111116</v>
      </c>
      <c r="K320" s="134">
        <f t="shared" si="138"/>
        <v>0.24615384615384595</v>
      </c>
      <c r="L320" s="134">
        <f t="shared" si="138"/>
        <v>0.1818181818181821</v>
      </c>
      <c r="M320" s="134">
        <f t="shared" si="138"/>
        <v>9.9999999999999867E-2</v>
      </c>
      <c r="N320" s="134">
        <f t="shared" si="138"/>
        <v>-3.3333333333334103E-3</v>
      </c>
      <c r="O320" s="134">
        <f t="shared" si="138"/>
        <v>-2.9411764705882248E-2</v>
      </c>
    </row>
    <row r="321" spans="2:15" x14ac:dyDescent="0.55000000000000004">
      <c r="B321" s="66"/>
      <c r="C321" s="69"/>
      <c r="D321" s="69"/>
      <c r="E321" s="69"/>
      <c r="F321" s="69"/>
      <c r="G321" s="69"/>
      <c r="H321" s="173"/>
      <c r="I321" s="138"/>
      <c r="J321" s="138"/>
      <c r="K321" s="138"/>
      <c r="L321" s="138"/>
      <c r="M321" s="138"/>
      <c r="N321" s="138"/>
      <c r="O321" s="138"/>
    </row>
    <row r="322" spans="2:15" x14ac:dyDescent="0.55000000000000004">
      <c r="B322" s="67" t="s">
        <v>156</v>
      </c>
      <c r="C322" s="86"/>
      <c r="D322" s="86"/>
      <c r="E322" s="86"/>
      <c r="F322" s="86"/>
      <c r="G322" s="86"/>
      <c r="H322" s="86">
        <f>Analysis!C40+Analysis!D40+Analysis!E40+Analysis!F40</f>
        <v>35.976666666666674</v>
      </c>
      <c r="I322" s="86">
        <f t="shared" ref="I322:O322" si="139">I323*I312*1000</f>
        <v>109.72883333333336</v>
      </c>
      <c r="J322" s="86">
        <f t="shared" si="139"/>
        <v>268.83564166666673</v>
      </c>
      <c r="K322" s="86">
        <f t="shared" si="139"/>
        <v>483.90415500000012</v>
      </c>
      <c r="L322" s="86">
        <f t="shared" si="139"/>
        <v>725.85623250000003</v>
      </c>
      <c r="M322" s="86">
        <f t="shared" si="139"/>
        <v>943.61310225000022</v>
      </c>
      <c r="N322" s="86">
        <f t="shared" si="139"/>
        <v>1085.1550675875001</v>
      </c>
      <c r="O322" s="86">
        <f t="shared" si="139"/>
        <v>1193.6705743462501</v>
      </c>
    </row>
    <row r="323" spans="2:15" x14ac:dyDescent="0.55000000000000004">
      <c r="B323" s="66" t="s">
        <v>925</v>
      </c>
      <c r="C323" s="69"/>
      <c r="D323" s="69"/>
      <c r="E323" s="69"/>
      <c r="F323" s="69"/>
      <c r="G323" s="69"/>
      <c r="H323" s="171">
        <f>H322/(H312*1000)</f>
        <v>2.0000000000000004E-2</v>
      </c>
      <c r="I323" s="138">
        <f>H323</f>
        <v>2.0000000000000004E-2</v>
      </c>
      <c r="J323" s="138">
        <f t="shared" ref="J323:O323" si="140">I323</f>
        <v>2.0000000000000004E-2</v>
      </c>
      <c r="K323" s="138">
        <f t="shared" si="140"/>
        <v>2.0000000000000004E-2</v>
      </c>
      <c r="L323" s="138">
        <f t="shared" si="140"/>
        <v>2.0000000000000004E-2</v>
      </c>
      <c r="M323" s="138">
        <f t="shared" si="140"/>
        <v>2.0000000000000004E-2</v>
      </c>
      <c r="N323" s="138">
        <f t="shared" si="140"/>
        <v>2.0000000000000004E-2</v>
      </c>
      <c r="O323" s="138">
        <f t="shared" si="140"/>
        <v>2.0000000000000004E-2</v>
      </c>
    </row>
    <row r="324" spans="2:15" x14ac:dyDescent="0.55000000000000004">
      <c r="B324" s="66" t="s">
        <v>934</v>
      </c>
      <c r="C324" s="69"/>
      <c r="D324" s="69"/>
      <c r="E324" s="69"/>
      <c r="F324" s="69"/>
      <c r="G324" s="69"/>
      <c r="H324" s="171">
        <f t="shared" ref="H324:O324" si="141">H322/H260</f>
        <v>8.3212616059549199E-3</v>
      </c>
      <c r="I324" s="171">
        <f t="shared" si="141"/>
        <v>2.0987937351817365E-2</v>
      </c>
      <c r="J324" s="171">
        <f t="shared" si="141"/>
        <v>4.4399742200055839E-2</v>
      </c>
      <c r="K324" s="171">
        <f t="shared" si="141"/>
        <v>7.0579878163343809E-2</v>
      </c>
      <c r="L324" s="171">
        <f t="shared" si="141"/>
        <v>9.4026134223456556E-2</v>
      </c>
      <c r="M324" s="171">
        <f t="shared" si="141"/>
        <v>0.1091869589340516</v>
      </c>
      <c r="N324" s="171">
        <f t="shared" si="141"/>
        <v>0.11482915364959945</v>
      </c>
      <c r="O324" s="171">
        <f t="shared" si="141"/>
        <v>0.11677684344825026</v>
      </c>
    </row>
    <row r="325" spans="2:15" x14ac:dyDescent="0.55000000000000004">
      <c r="B325" s="66"/>
      <c r="C325" s="69"/>
      <c r="D325" s="69"/>
      <c r="E325" s="69"/>
      <c r="F325" s="69"/>
      <c r="G325" s="69"/>
      <c r="H325" s="134"/>
      <c r="I325" s="138"/>
      <c r="J325" s="138"/>
      <c r="K325" s="138"/>
      <c r="L325" s="138"/>
      <c r="M325" s="138"/>
      <c r="N325" s="138"/>
      <c r="O325" s="138"/>
    </row>
    <row r="326" spans="2:15" x14ac:dyDescent="0.55000000000000004">
      <c r="B326" s="66" t="s">
        <v>929</v>
      </c>
      <c r="C326" s="69"/>
      <c r="D326" s="69"/>
      <c r="E326" s="69"/>
      <c r="F326" s="69"/>
      <c r="G326" s="69"/>
      <c r="H326" s="134"/>
      <c r="I326" s="259">
        <v>468.71964311250008</v>
      </c>
      <c r="J326" s="259">
        <v>492.071171278375</v>
      </c>
      <c r="K326" s="259">
        <v>523.60185721656319</v>
      </c>
      <c r="L326" s="259">
        <v>557.13569044683368</v>
      </c>
      <c r="M326" s="259">
        <v>592.79861122898092</v>
      </c>
      <c r="N326" s="259">
        <v>630.72437603743913</v>
      </c>
      <c r="O326" s="259">
        <v>671.05503472405951</v>
      </c>
    </row>
    <row r="327" spans="2:15" x14ac:dyDescent="0.55000000000000004">
      <c r="B327" s="66" t="s">
        <v>544</v>
      </c>
      <c r="C327" s="69"/>
      <c r="D327" s="69"/>
      <c r="E327" s="69"/>
      <c r="F327" s="69"/>
      <c r="G327" s="69"/>
      <c r="H327" s="134"/>
      <c r="I327" s="171">
        <f t="shared" ref="I327:O327" si="142">I312/I326</f>
        <v>1.1705166931418393E-2</v>
      </c>
      <c r="J327" s="171">
        <f t="shared" si="142"/>
        <v>2.7316743731221425E-2</v>
      </c>
      <c r="K327" s="171">
        <f t="shared" si="142"/>
        <v>4.6209170988468815E-2</v>
      </c>
      <c r="L327" s="171">
        <f t="shared" si="142"/>
        <v>6.5141781880626706E-2</v>
      </c>
      <c r="M327" s="171">
        <f t="shared" si="142"/>
        <v>7.9589685634866444E-2</v>
      </c>
      <c r="N327" s="171">
        <f t="shared" si="142"/>
        <v>8.6024506806368167E-2</v>
      </c>
      <c r="O327" s="171">
        <f t="shared" si="142"/>
        <v>8.8939841933910233E-2</v>
      </c>
    </row>
    <row r="328" spans="2:15" x14ac:dyDescent="0.55000000000000004">
      <c r="B328" s="66"/>
      <c r="C328" s="69"/>
      <c r="D328" s="69"/>
      <c r="E328" s="69"/>
      <c r="F328" s="69"/>
      <c r="G328" s="69"/>
      <c r="H328" s="134"/>
      <c r="I328" s="138"/>
      <c r="J328" s="138"/>
      <c r="K328" s="138"/>
      <c r="L328" s="138"/>
      <c r="M328" s="138"/>
      <c r="N328" s="138"/>
      <c r="O328" s="138"/>
    </row>
    <row r="329" spans="2:15" x14ac:dyDescent="0.55000000000000004">
      <c r="B329" s="68" t="s">
        <v>890</v>
      </c>
      <c r="C329" s="88"/>
      <c r="D329" s="88"/>
      <c r="E329" s="88"/>
      <c r="F329" s="88"/>
      <c r="G329" s="68">
        <f>G311</f>
        <v>2022</v>
      </c>
      <c r="H329" s="68">
        <f>H311</f>
        <v>2023</v>
      </c>
      <c r="I329" s="68">
        <f t="shared" ref="I329:O329" si="143">I311</f>
        <v>2024</v>
      </c>
      <c r="J329" s="68">
        <f t="shared" si="143"/>
        <v>2025</v>
      </c>
      <c r="K329" s="68">
        <f t="shared" si="143"/>
        <v>2026</v>
      </c>
      <c r="L329" s="68">
        <f t="shared" si="143"/>
        <v>2027</v>
      </c>
      <c r="M329" s="68">
        <f t="shared" si="143"/>
        <v>2028</v>
      </c>
      <c r="N329" s="68">
        <f t="shared" si="143"/>
        <v>2029</v>
      </c>
      <c r="O329" s="68">
        <f t="shared" si="143"/>
        <v>2030</v>
      </c>
    </row>
    <row r="330" spans="2:15" x14ac:dyDescent="0.55000000000000004">
      <c r="B330" s="66" t="str">
        <f>Analysis!B81</f>
        <v>Consumer (Cash App) loans, net</v>
      </c>
      <c r="C330" s="69"/>
      <c r="D330" s="69"/>
      <c r="E330" s="69"/>
      <c r="F330" s="69"/>
      <c r="G330" s="69">
        <f>Analysis!C81</f>
        <v>140.33505154639175</v>
      </c>
      <c r="H330" s="69">
        <f>Analysis!D81</f>
        <v>362.74484536082474</v>
      </c>
      <c r="I330" s="69">
        <f>Analysis!D81</f>
        <v>362.74484536082474</v>
      </c>
      <c r="J330" s="69">
        <f t="shared" ref="J330:O330" si="144">J331/52*J332</f>
        <v>441.00000000000006</v>
      </c>
      <c r="K330" s="69">
        <f t="shared" si="144"/>
        <v>529.20000000000005</v>
      </c>
      <c r="L330" s="69">
        <f t="shared" si="144"/>
        <v>625.11750000000006</v>
      </c>
      <c r="M330" s="69">
        <f t="shared" si="144"/>
        <v>729.30375000000026</v>
      </c>
      <c r="N330" s="69">
        <f t="shared" si="144"/>
        <v>842.34583125000029</v>
      </c>
      <c r="O330" s="69">
        <f t="shared" si="144"/>
        <v>964.86886125000024</v>
      </c>
    </row>
    <row r="331" spans="2:15" x14ac:dyDescent="0.55000000000000004">
      <c r="B331" s="66" t="str">
        <f>Analysis!B82</f>
        <v>Borrow originations</v>
      </c>
      <c r="C331" s="69"/>
      <c r="D331" s="69"/>
      <c r="E331" s="69"/>
      <c r="F331" s="69"/>
      <c r="G331" s="69">
        <f>Analysis!C82</f>
        <v>2068.9655172413795</v>
      </c>
      <c r="H331" s="69">
        <f>Analysis!D82</f>
        <v>3600</v>
      </c>
      <c r="I331" s="69">
        <f t="shared" ref="I331:O331" si="145">I334*I336</f>
        <v>5400</v>
      </c>
      <c r="J331" s="69">
        <f t="shared" si="145"/>
        <v>6615</v>
      </c>
      <c r="K331" s="69">
        <f t="shared" si="145"/>
        <v>7938.0000000000009</v>
      </c>
      <c r="L331" s="69">
        <f t="shared" si="145"/>
        <v>9376.7625000000007</v>
      </c>
      <c r="M331" s="69">
        <f t="shared" si="145"/>
        <v>10939.556250000003</v>
      </c>
      <c r="N331" s="69">
        <f t="shared" si="145"/>
        <v>12635.187468750004</v>
      </c>
      <c r="O331" s="69">
        <f t="shared" si="145"/>
        <v>14473.032918750005</v>
      </c>
    </row>
    <row r="332" spans="2:15" x14ac:dyDescent="0.55000000000000004">
      <c r="B332" s="66" t="str">
        <f>Analysis!B83</f>
        <v>Implied duration, weeks</v>
      </c>
      <c r="C332" s="69"/>
      <c r="D332" s="69"/>
      <c r="E332" s="69"/>
      <c r="F332" s="69"/>
      <c r="G332" s="133">
        <f>G330*52/G331</f>
        <v>3.5270876288659787</v>
      </c>
      <c r="H332" s="133">
        <f>H330*52/H331</f>
        <v>5.2396477663230243</v>
      </c>
      <c r="I332" s="233">
        <f>52/15</f>
        <v>3.4666666666666668</v>
      </c>
      <c r="J332" s="233">
        <f t="shared" ref="J332:O332" si="146">I332</f>
        <v>3.4666666666666668</v>
      </c>
      <c r="K332" s="233">
        <f t="shared" si="146"/>
        <v>3.4666666666666668</v>
      </c>
      <c r="L332" s="233">
        <f t="shared" si="146"/>
        <v>3.4666666666666668</v>
      </c>
      <c r="M332" s="233">
        <f t="shared" si="146"/>
        <v>3.4666666666666668</v>
      </c>
      <c r="N332" s="233">
        <f t="shared" si="146"/>
        <v>3.4666666666666668</v>
      </c>
      <c r="O332" s="233">
        <f t="shared" si="146"/>
        <v>3.4666666666666668</v>
      </c>
    </row>
    <row r="333" spans="2:15" x14ac:dyDescent="0.55000000000000004">
      <c r="B333" s="66"/>
      <c r="C333" s="69"/>
      <c r="D333" s="69"/>
      <c r="E333" s="69"/>
      <c r="F333" s="69"/>
      <c r="G333" s="69"/>
      <c r="H333" s="66"/>
      <c r="I333" s="66"/>
      <c r="J333" s="138"/>
      <c r="K333" s="138"/>
      <c r="L333" s="138"/>
      <c r="M333" s="138"/>
      <c r="N333" s="138"/>
      <c r="O333" s="138"/>
    </row>
    <row r="334" spans="2:15" x14ac:dyDescent="0.55000000000000004">
      <c r="B334" s="66" t="str">
        <f>Analysis!B85</f>
        <v>Estimated loan size, $</v>
      </c>
      <c r="C334" s="69"/>
      <c r="D334" s="69"/>
      <c r="E334" s="69"/>
      <c r="F334" s="69"/>
      <c r="G334" s="140">
        <f>Analysis!C85</f>
        <v>125</v>
      </c>
      <c r="H334" s="140">
        <f>Analysis!D85</f>
        <v>150</v>
      </c>
      <c r="I334" s="140">
        <f t="shared" ref="I334:O334" si="147">(1+I335)*H334</f>
        <v>180</v>
      </c>
      <c r="J334" s="140">
        <f t="shared" si="147"/>
        <v>189</v>
      </c>
      <c r="K334" s="140">
        <f t="shared" si="147"/>
        <v>198.45000000000002</v>
      </c>
      <c r="L334" s="140">
        <f t="shared" si="147"/>
        <v>208.37250000000003</v>
      </c>
      <c r="M334" s="140">
        <f t="shared" si="147"/>
        <v>218.79112500000005</v>
      </c>
      <c r="N334" s="140">
        <f t="shared" si="147"/>
        <v>229.73068125000006</v>
      </c>
      <c r="O334" s="140">
        <f t="shared" si="147"/>
        <v>241.21721531250009</v>
      </c>
    </row>
    <row r="335" spans="2:15" x14ac:dyDescent="0.55000000000000004">
      <c r="B335" s="66" t="s">
        <v>393</v>
      </c>
      <c r="C335" s="69"/>
      <c r="D335" s="69"/>
      <c r="E335" s="69"/>
      <c r="F335" s="69"/>
      <c r="G335" s="140"/>
      <c r="H335" s="140"/>
      <c r="I335" s="139">
        <v>0.2</v>
      </c>
      <c r="J335" s="139">
        <v>0.05</v>
      </c>
      <c r="K335" s="139">
        <v>0.05</v>
      </c>
      <c r="L335" s="139">
        <v>0.05</v>
      </c>
      <c r="M335" s="139">
        <v>0.05</v>
      </c>
      <c r="N335" s="139">
        <v>0.05</v>
      </c>
      <c r="O335" s="139">
        <v>0.05</v>
      </c>
    </row>
    <row r="336" spans="2:15" x14ac:dyDescent="0.55000000000000004">
      <c r="B336" s="66" t="str">
        <f>Analysis!B86</f>
        <v>No of loans, million</v>
      </c>
      <c r="C336" s="69"/>
      <c r="D336" s="69"/>
      <c r="E336" s="69"/>
      <c r="F336" s="69"/>
      <c r="G336" s="133">
        <f>Analysis!C86</f>
        <v>16.551724137931036</v>
      </c>
      <c r="H336" s="133">
        <f>Analysis!D86</f>
        <v>24</v>
      </c>
      <c r="I336" s="233">
        <v>30</v>
      </c>
      <c r="J336" s="233">
        <f t="shared" ref="J336:O336" si="148">I336+5</f>
        <v>35</v>
      </c>
      <c r="K336" s="233">
        <f t="shared" si="148"/>
        <v>40</v>
      </c>
      <c r="L336" s="233">
        <f t="shared" si="148"/>
        <v>45</v>
      </c>
      <c r="M336" s="233">
        <f t="shared" si="148"/>
        <v>50</v>
      </c>
      <c r="N336" s="233">
        <f t="shared" si="148"/>
        <v>55</v>
      </c>
      <c r="O336" s="233">
        <f t="shared" si="148"/>
        <v>60</v>
      </c>
    </row>
    <row r="337" spans="2:15" x14ac:dyDescent="0.55000000000000004">
      <c r="B337" s="66"/>
      <c r="C337" s="69"/>
      <c r="D337" s="69"/>
      <c r="E337" s="69"/>
      <c r="F337" s="69"/>
      <c r="G337" s="69"/>
      <c r="H337" s="66"/>
      <c r="I337" s="66"/>
      <c r="J337" s="138"/>
      <c r="K337" s="138"/>
      <c r="L337" s="138"/>
      <c r="M337" s="138"/>
      <c r="N337" s="138"/>
      <c r="O337" s="138"/>
    </row>
    <row r="338" spans="2:15" x14ac:dyDescent="0.55000000000000004">
      <c r="B338" s="66" t="str">
        <f>Analysis!B88</f>
        <v>Flat fee on origination</v>
      </c>
      <c r="C338" s="69"/>
      <c r="D338" s="69"/>
      <c r="E338" s="69"/>
      <c r="F338" s="69"/>
      <c r="G338" s="134">
        <f>Analysis!C88</f>
        <v>0.05</v>
      </c>
      <c r="H338" s="134">
        <f>Analysis!D88</f>
        <v>0.05</v>
      </c>
      <c r="I338" s="134">
        <f>Analysis!D88</f>
        <v>0.05</v>
      </c>
      <c r="J338" s="139">
        <f t="shared" ref="J338:O338" si="149">I338</f>
        <v>0.05</v>
      </c>
      <c r="K338" s="139">
        <f t="shared" si="149"/>
        <v>0.05</v>
      </c>
      <c r="L338" s="139">
        <f t="shared" si="149"/>
        <v>0.05</v>
      </c>
      <c r="M338" s="139">
        <f t="shared" si="149"/>
        <v>0.05</v>
      </c>
      <c r="N338" s="139">
        <f t="shared" si="149"/>
        <v>0.05</v>
      </c>
      <c r="O338" s="139">
        <f t="shared" si="149"/>
        <v>0.05</v>
      </c>
    </row>
    <row r="339" spans="2:15" x14ac:dyDescent="0.55000000000000004">
      <c r="B339" s="66" t="str">
        <f>Analysis!B89</f>
        <v>Late fees (estimate)</v>
      </c>
      <c r="C339" s="69"/>
      <c r="D339" s="69"/>
      <c r="E339" s="69"/>
      <c r="F339" s="69"/>
      <c r="G339" s="134">
        <f>Analysis!C89</f>
        <v>5.0000000000000001E-3</v>
      </c>
      <c r="H339" s="134">
        <f>Analysis!D89</f>
        <v>0.01</v>
      </c>
      <c r="I339" s="134">
        <f>Analysis!D89</f>
        <v>0.01</v>
      </c>
      <c r="J339" s="139">
        <v>1.2500000000000001E-2</v>
      </c>
      <c r="K339" s="139">
        <v>1.2500000000000001E-2</v>
      </c>
      <c r="L339" s="139">
        <v>1.2500000000000001E-2</v>
      </c>
      <c r="M339" s="139">
        <v>1.2500000000000001E-2</v>
      </c>
      <c r="N339" s="139">
        <v>1.2500000000000001E-2</v>
      </c>
      <c r="O339" s="139">
        <v>1.2500000000000001E-2</v>
      </c>
    </row>
    <row r="340" spans="2:15" x14ac:dyDescent="0.55000000000000004">
      <c r="B340" s="66"/>
      <c r="C340" s="69"/>
      <c r="D340" s="69"/>
      <c r="E340" s="69"/>
      <c r="F340" s="69"/>
      <c r="G340" s="69"/>
      <c r="H340" s="134"/>
      <c r="I340" s="134"/>
      <c r="J340" s="138"/>
      <c r="K340" s="138"/>
      <c r="L340" s="138"/>
      <c r="M340" s="138"/>
      <c r="N340" s="138"/>
      <c r="O340" s="138"/>
    </row>
    <row r="341" spans="2:15" x14ac:dyDescent="0.55000000000000004">
      <c r="B341" s="66" t="str">
        <f>Analysis!B91</f>
        <v>Revenue</v>
      </c>
      <c r="C341" s="69"/>
      <c r="D341" s="69"/>
      <c r="E341" s="69"/>
      <c r="F341" s="69"/>
      <c r="G341" s="69">
        <f>+(G331*(G$338+G$339))</f>
        <v>113.79310344827587</v>
      </c>
      <c r="H341" s="69">
        <f>+(H331*(H$338+H$339))</f>
        <v>216.00000000000003</v>
      </c>
      <c r="I341" s="69">
        <f>+(I331*(I$338+I$339))</f>
        <v>324</v>
      </c>
      <c r="J341" s="69">
        <f t="shared" ref="J341:O341" si="150">+(J331*(J$338+J$339))</f>
        <v>413.4375</v>
      </c>
      <c r="K341" s="69">
        <f t="shared" si="150"/>
        <v>496.12500000000006</v>
      </c>
      <c r="L341" s="69">
        <f t="shared" si="150"/>
        <v>586.04765625000005</v>
      </c>
      <c r="M341" s="69">
        <f t="shared" si="150"/>
        <v>683.7222656250002</v>
      </c>
      <c r="N341" s="69">
        <f t="shared" si="150"/>
        <v>789.69921679687525</v>
      </c>
      <c r="O341" s="69">
        <f t="shared" si="150"/>
        <v>904.56455742187529</v>
      </c>
    </row>
    <row r="342" spans="2:15" x14ac:dyDescent="0.55000000000000004">
      <c r="B342" s="66" t="str">
        <f>Analysis!B92</f>
        <v>Funding expense</v>
      </c>
      <c r="C342" s="69"/>
      <c r="D342" s="69"/>
      <c r="E342" s="69"/>
      <c r="F342" s="69"/>
      <c r="G342" s="140">
        <f t="shared" ref="G342:O342" si="151">G347*G330</f>
        <v>4.4205541237113399</v>
      </c>
      <c r="H342" s="140">
        <f t="shared" si="151"/>
        <v>16.758811855670103</v>
      </c>
      <c r="I342" s="140">
        <f t="shared" si="151"/>
        <v>16.758811855670103</v>
      </c>
      <c r="J342" s="140">
        <f t="shared" si="151"/>
        <v>16.537500000000001</v>
      </c>
      <c r="K342" s="140">
        <f t="shared" si="151"/>
        <v>17.199000000000002</v>
      </c>
      <c r="L342" s="140">
        <f t="shared" si="151"/>
        <v>18.753525</v>
      </c>
      <c r="M342" s="140">
        <f t="shared" si="151"/>
        <v>21.879112500000009</v>
      </c>
      <c r="N342" s="140">
        <f t="shared" si="151"/>
        <v>25.270374937500009</v>
      </c>
      <c r="O342" s="140">
        <f t="shared" si="151"/>
        <v>28.946065837500004</v>
      </c>
    </row>
    <row r="343" spans="2:15" x14ac:dyDescent="0.55000000000000004">
      <c r="B343" s="67" t="s">
        <v>156</v>
      </c>
      <c r="C343" s="86"/>
      <c r="D343" s="86"/>
      <c r="E343" s="86"/>
      <c r="F343" s="86"/>
      <c r="G343" s="236">
        <f>G341-G342</f>
        <v>109.37254932456453</v>
      </c>
      <c r="H343" s="236">
        <f>H341-H342</f>
        <v>199.24118814432993</v>
      </c>
      <c r="I343" s="236">
        <f t="shared" ref="I343:O343" si="152">I341-I342</f>
        <v>307.2411881443299</v>
      </c>
      <c r="J343" s="236">
        <f t="shared" si="152"/>
        <v>396.9</v>
      </c>
      <c r="K343" s="236">
        <f t="shared" si="152"/>
        <v>478.92600000000004</v>
      </c>
      <c r="L343" s="236">
        <f t="shared" si="152"/>
        <v>567.29413125000008</v>
      </c>
      <c r="M343" s="236">
        <f t="shared" si="152"/>
        <v>661.84315312500019</v>
      </c>
      <c r="N343" s="236">
        <f t="shared" si="152"/>
        <v>764.42884185937521</v>
      </c>
      <c r="O343" s="236">
        <f t="shared" si="152"/>
        <v>875.61849158437531</v>
      </c>
    </row>
    <row r="344" spans="2:15" x14ac:dyDescent="0.55000000000000004">
      <c r="B344" s="66"/>
      <c r="C344" s="69"/>
      <c r="D344" s="69"/>
      <c r="E344" s="69"/>
      <c r="F344" s="69"/>
      <c r="G344" s="69"/>
      <c r="H344" s="140"/>
      <c r="I344" s="140"/>
      <c r="J344" s="140"/>
      <c r="K344" s="140"/>
      <c r="L344" s="140"/>
      <c r="M344" s="140"/>
      <c r="N344" s="140"/>
      <c r="O344" s="140"/>
    </row>
    <row r="345" spans="2:15" x14ac:dyDescent="0.55000000000000004">
      <c r="B345" s="66" t="str">
        <f>Analysis!B94</f>
        <v>Cost of losses</v>
      </c>
      <c r="C345" s="69"/>
      <c r="D345" s="69"/>
      <c r="E345" s="69"/>
      <c r="F345" s="69"/>
      <c r="G345" s="171">
        <f>Analysis!C94</f>
        <v>0.03</v>
      </c>
      <c r="H345" s="171">
        <f>Analysis!D94</f>
        <v>0.03</v>
      </c>
      <c r="I345" s="171">
        <f>Analysis!D94</f>
        <v>0.03</v>
      </c>
      <c r="J345" s="138">
        <f t="shared" ref="J345:O345" si="153">I345</f>
        <v>0.03</v>
      </c>
      <c r="K345" s="138">
        <f t="shared" si="153"/>
        <v>0.03</v>
      </c>
      <c r="L345" s="138">
        <f t="shared" si="153"/>
        <v>0.03</v>
      </c>
      <c r="M345" s="138">
        <f t="shared" si="153"/>
        <v>0.03</v>
      </c>
      <c r="N345" s="138">
        <f t="shared" si="153"/>
        <v>0.03</v>
      </c>
      <c r="O345" s="138">
        <f t="shared" si="153"/>
        <v>0.03</v>
      </c>
    </row>
    <row r="346" spans="2:15" x14ac:dyDescent="0.55000000000000004">
      <c r="B346" s="66" t="str">
        <f>Analysis!B95</f>
        <v>Losses</v>
      </c>
      <c r="C346" s="69"/>
      <c r="D346" s="69"/>
      <c r="E346" s="69"/>
      <c r="F346" s="69"/>
      <c r="G346" s="140">
        <f t="shared" ref="G346:O346" si="154">G345*G330</f>
        <v>4.2100515463917523</v>
      </c>
      <c r="H346" s="140">
        <f t="shared" si="154"/>
        <v>10.882345360824742</v>
      </c>
      <c r="I346" s="140">
        <f t="shared" si="154"/>
        <v>10.882345360824742</v>
      </c>
      <c r="J346" s="140">
        <f t="shared" si="154"/>
        <v>13.23</v>
      </c>
      <c r="K346" s="140">
        <f t="shared" si="154"/>
        <v>15.876000000000001</v>
      </c>
      <c r="L346" s="140">
        <f t="shared" si="154"/>
        <v>18.753525</v>
      </c>
      <c r="M346" s="140">
        <f t="shared" si="154"/>
        <v>21.879112500000009</v>
      </c>
      <c r="N346" s="140">
        <f t="shared" si="154"/>
        <v>25.270374937500009</v>
      </c>
      <c r="O346" s="140">
        <f t="shared" si="154"/>
        <v>28.946065837500004</v>
      </c>
    </row>
    <row r="347" spans="2:15" x14ac:dyDescent="0.55000000000000004">
      <c r="B347" s="66" t="str">
        <f>Analysis!B96</f>
        <v>Funding cost</v>
      </c>
      <c r="C347" s="69"/>
      <c r="D347" s="69"/>
      <c r="E347" s="69"/>
      <c r="F347" s="69"/>
      <c r="G347" s="134">
        <f>Analysis!C96</f>
        <v>3.15E-2</v>
      </c>
      <c r="H347" s="134">
        <f>Analysis!D96</f>
        <v>4.6199999999999998E-2</v>
      </c>
      <c r="I347" s="134">
        <f>Analysis!D96</f>
        <v>4.6199999999999998E-2</v>
      </c>
      <c r="J347" s="138">
        <v>3.7499999999999999E-2</v>
      </c>
      <c r="K347" s="138">
        <v>3.2500000000000001E-2</v>
      </c>
      <c r="L347" s="138">
        <v>0.03</v>
      </c>
      <c r="M347" s="138">
        <v>0.03</v>
      </c>
      <c r="N347" s="138">
        <v>0.03</v>
      </c>
      <c r="O347" s="138">
        <v>0.03</v>
      </c>
    </row>
    <row r="348" spans="2:15" x14ac:dyDescent="0.55000000000000004">
      <c r="B348" s="66" t="str">
        <f>Analysis!B97</f>
        <v>Gross profit after losses</v>
      </c>
      <c r="C348" s="69"/>
      <c r="D348" s="69"/>
      <c r="E348" s="69"/>
      <c r="F348" s="69"/>
      <c r="G348" s="140">
        <f>Analysis!C97</f>
        <v>105.16249777817278</v>
      </c>
      <c r="H348" s="140">
        <f>Analysis!D97</f>
        <v>188.3588427835052</v>
      </c>
      <c r="I348" s="140">
        <f t="shared" ref="I348:O348" si="155">I341-I346-I342</f>
        <v>296.35884278350517</v>
      </c>
      <c r="J348" s="140">
        <f t="shared" si="155"/>
        <v>383.66999999999996</v>
      </c>
      <c r="K348" s="140">
        <f t="shared" si="155"/>
        <v>463.05000000000007</v>
      </c>
      <c r="L348" s="140">
        <f t="shared" si="155"/>
        <v>548.54060625000011</v>
      </c>
      <c r="M348" s="140">
        <f t="shared" si="155"/>
        <v>639.96404062500017</v>
      </c>
      <c r="N348" s="140">
        <f t="shared" si="155"/>
        <v>739.15846692187517</v>
      </c>
      <c r="O348" s="140">
        <f t="shared" si="155"/>
        <v>846.67242574687532</v>
      </c>
    </row>
    <row r="349" spans="2:15" x14ac:dyDescent="0.55000000000000004">
      <c r="B349" s="66" t="str">
        <f>Analysis!B98</f>
        <v>% margin</v>
      </c>
      <c r="C349" s="69"/>
      <c r="D349" s="69"/>
      <c r="E349" s="69"/>
      <c r="F349" s="69"/>
      <c r="G349" s="134">
        <f t="shared" ref="G349:O349" si="156">G348/G341</f>
        <v>0.92415528350515463</v>
      </c>
      <c r="H349" s="134">
        <f t="shared" si="156"/>
        <v>0.87203167955326466</v>
      </c>
      <c r="I349" s="134">
        <f t="shared" si="156"/>
        <v>0.91468778636884307</v>
      </c>
      <c r="J349" s="134">
        <f t="shared" si="156"/>
        <v>0.92799999999999994</v>
      </c>
      <c r="K349" s="134">
        <f t="shared" si="156"/>
        <v>0.93333333333333335</v>
      </c>
      <c r="L349" s="134">
        <f t="shared" si="156"/>
        <v>0.93600000000000017</v>
      </c>
      <c r="M349" s="134">
        <f t="shared" si="156"/>
        <v>0.93599999999999994</v>
      </c>
      <c r="N349" s="134">
        <f t="shared" si="156"/>
        <v>0.93599999999999994</v>
      </c>
      <c r="O349" s="134">
        <f t="shared" si="156"/>
        <v>0.93600000000000005</v>
      </c>
    </row>
    <row r="350" spans="2:15" x14ac:dyDescent="0.55000000000000004">
      <c r="B350" s="66"/>
      <c r="C350" s="69"/>
      <c r="D350" s="69"/>
      <c r="E350" s="69"/>
      <c r="F350" s="69"/>
      <c r="G350" s="69"/>
      <c r="H350" s="134"/>
      <c r="I350" s="138"/>
      <c r="J350" s="138"/>
      <c r="K350" s="138"/>
      <c r="L350" s="138"/>
      <c r="M350" s="138"/>
      <c r="N350" s="138"/>
      <c r="O350" s="138"/>
    </row>
    <row r="351" spans="2:15" x14ac:dyDescent="0.55000000000000004">
      <c r="B351" s="68" t="s">
        <v>938</v>
      </c>
      <c r="C351" s="88"/>
      <c r="D351" s="88"/>
      <c r="E351" s="88"/>
      <c r="F351" s="88"/>
      <c r="G351" s="68">
        <f>G329</f>
        <v>2022</v>
      </c>
      <c r="H351" s="68">
        <f>H329</f>
        <v>2023</v>
      </c>
      <c r="I351" s="68">
        <f t="shared" ref="I351:O351" si="157">I329</f>
        <v>2024</v>
      </c>
      <c r="J351" s="68">
        <f t="shared" si="157"/>
        <v>2025</v>
      </c>
      <c r="K351" s="68">
        <f t="shared" si="157"/>
        <v>2026</v>
      </c>
      <c r="L351" s="68">
        <f t="shared" si="157"/>
        <v>2027</v>
      </c>
      <c r="M351" s="68">
        <f t="shared" si="157"/>
        <v>2028</v>
      </c>
      <c r="N351" s="68">
        <f t="shared" si="157"/>
        <v>2029</v>
      </c>
      <c r="O351" s="68">
        <f t="shared" si="157"/>
        <v>2030</v>
      </c>
    </row>
    <row r="352" spans="2:15" x14ac:dyDescent="0.55000000000000004">
      <c r="B352" s="66" t="s">
        <v>939</v>
      </c>
      <c r="C352" s="69"/>
      <c r="D352" s="69"/>
      <c r="E352" s="69"/>
      <c r="F352" s="69"/>
      <c r="G352" s="133">
        <f t="shared" ref="G352:O352" si="158">G250</f>
        <v>2</v>
      </c>
      <c r="H352" s="133">
        <f t="shared" si="158"/>
        <v>3</v>
      </c>
      <c r="I352" s="133">
        <f t="shared" si="158"/>
        <v>5</v>
      </c>
      <c r="J352" s="133">
        <f t="shared" si="158"/>
        <v>5.7898305084745765</v>
      </c>
      <c r="K352" s="133">
        <f t="shared" si="158"/>
        <v>6.6706440677966121</v>
      </c>
      <c r="L352" s="133">
        <f t="shared" si="158"/>
        <v>7.5131118644067838</v>
      </c>
      <c r="M352" s="133">
        <f t="shared" si="158"/>
        <v>8.2404512542372927</v>
      </c>
      <c r="N352" s="133">
        <f t="shared" si="158"/>
        <v>8.7850787796610224</v>
      </c>
      <c r="O352" s="133">
        <f t="shared" si="158"/>
        <v>9.1852142546440749</v>
      </c>
    </row>
    <row r="353" spans="2:15" x14ac:dyDescent="0.55000000000000004">
      <c r="B353" s="66" t="s">
        <v>748</v>
      </c>
      <c r="C353" s="69"/>
      <c r="D353" s="69"/>
      <c r="E353" s="69"/>
      <c r="F353" s="69"/>
      <c r="G353" s="171">
        <f>Analysis!E24</f>
        <v>2.5000000000000001E-2</v>
      </c>
      <c r="H353" s="171">
        <f>Analysis!F24</f>
        <v>4.3999999999999997E-2</v>
      </c>
      <c r="I353" s="138">
        <v>4.4999999999999998E-2</v>
      </c>
      <c r="J353" s="138">
        <v>0.04</v>
      </c>
      <c r="K353" s="138">
        <v>0.03</v>
      </c>
      <c r="L353" s="138">
        <v>2.5000000000000001E-2</v>
      </c>
      <c r="M353" s="138">
        <v>2.5000000000000001E-2</v>
      </c>
      <c r="N353" s="138">
        <v>2.5000000000000001E-2</v>
      </c>
      <c r="O353" s="138">
        <v>2.5000000000000001E-2</v>
      </c>
    </row>
    <row r="354" spans="2:15" x14ac:dyDescent="0.55000000000000004">
      <c r="B354" s="67" t="s">
        <v>156</v>
      </c>
      <c r="C354" s="86"/>
      <c r="D354" s="86"/>
      <c r="E354" s="86"/>
      <c r="F354" s="86"/>
      <c r="G354" s="268">
        <f>G353*AVERAGE(F352,G352)*1000</f>
        <v>50</v>
      </c>
      <c r="H354" s="268">
        <f>H353*AVERAGE(G352,H352)*1000</f>
        <v>109.99999999999999</v>
      </c>
      <c r="I354" s="268">
        <f t="shared" ref="I354:O354" si="159">I353*AVERAGE(H352,I352)*1000</f>
        <v>180</v>
      </c>
      <c r="J354" s="268">
        <f t="shared" si="159"/>
        <v>215.79661016949154</v>
      </c>
      <c r="K354" s="268">
        <f t="shared" si="159"/>
        <v>186.90711864406782</v>
      </c>
      <c r="L354" s="268">
        <f t="shared" si="159"/>
        <v>177.29694915254245</v>
      </c>
      <c r="M354" s="268">
        <f t="shared" si="159"/>
        <v>196.91953898305098</v>
      </c>
      <c r="N354" s="268">
        <f t="shared" si="159"/>
        <v>212.81912542372893</v>
      </c>
      <c r="O354" s="268">
        <f t="shared" si="159"/>
        <v>224.62866292881372</v>
      </c>
    </row>
    <row r="355" spans="2:15" x14ac:dyDescent="0.55000000000000004">
      <c r="B355" s="66"/>
      <c r="C355" s="69"/>
      <c r="D355" s="69"/>
      <c r="E355" s="69"/>
      <c r="F355" s="69"/>
      <c r="G355" s="133"/>
      <c r="H355" s="133"/>
      <c r="I355" s="133"/>
      <c r="J355" s="133"/>
      <c r="K355" s="133"/>
      <c r="L355" s="133"/>
      <c r="M355" s="133"/>
      <c r="N355" s="133"/>
      <c r="O355" s="133"/>
    </row>
    <row r="356" spans="2:15" x14ac:dyDescent="0.55000000000000004">
      <c r="B356" s="68" t="s">
        <v>896</v>
      </c>
      <c r="C356" s="88"/>
      <c r="D356" s="88"/>
      <c r="E356" s="88"/>
      <c r="F356" s="88"/>
      <c r="G356" s="68">
        <f>G351</f>
        <v>2022</v>
      </c>
      <c r="H356" s="68">
        <f>H351</f>
        <v>2023</v>
      </c>
      <c r="I356" s="68">
        <f t="shared" ref="I356:O356" si="160">I351</f>
        <v>2024</v>
      </c>
      <c r="J356" s="68">
        <f t="shared" si="160"/>
        <v>2025</v>
      </c>
      <c r="K356" s="68">
        <f t="shared" si="160"/>
        <v>2026</v>
      </c>
      <c r="L356" s="68">
        <f t="shared" si="160"/>
        <v>2027</v>
      </c>
      <c r="M356" s="68">
        <f t="shared" si="160"/>
        <v>2028</v>
      </c>
      <c r="N356" s="68">
        <f t="shared" si="160"/>
        <v>2029</v>
      </c>
      <c r="O356" s="68">
        <f t="shared" si="160"/>
        <v>2030</v>
      </c>
    </row>
    <row r="357" spans="2:15" x14ac:dyDescent="0.55000000000000004">
      <c r="B357" s="66" t="s">
        <v>321</v>
      </c>
      <c r="C357" s="69"/>
      <c r="D357" s="69"/>
      <c r="E357" s="69"/>
      <c r="F357" s="69"/>
      <c r="G357" s="140">
        <f>G359-G308-G322-G343-G354</f>
        <v>22.246790675435321</v>
      </c>
      <c r="H357" s="140">
        <f>H359-H308-H322-H343-H354</f>
        <v>49.698085189003265</v>
      </c>
      <c r="I357" s="140">
        <f t="shared" ref="I357:O357" si="161">I359-I308-I322-I343-I354</f>
        <v>77.606497522336497</v>
      </c>
      <c r="J357" s="140">
        <f t="shared" si="161"/>
        <v>63.809356295269765</v>
      </c>
      <c r="K357" s="140">
        <f t="shared" si="161"/>
        <v>36.546203379588775</v>
      </c>
      <c r="L357" s="140">
        <f t="shared" si="161"/>
        <v>23.954550034743733</v>
      </c>
      <c r="M357" s="140">
        <f t="shared" si="161"/>
        <v>37.91095649216129</v>
      </c>
      <c r="N357" s="140">
        <f t="shared" si="161"/>
        <v>57.345132148270721</v>
      </c>
      <c r="O357" s="140">
        <f t="shared" si="161"/>
        <v>30.552208947442608</v>
      </c>
    </row>
    <row r="358" spans="2:15" x14ac:dyDescent="0.55000000000000004">
      <c r="B358" s="66"/>
      <c r="C358" s="69"/>
      <c r="D358" s="69"/>
      <c r="E358" s="69"/>
      <c r="F358" s="69"/>
      <c r="G358" s="69"/>
      <c r="H358" s="67"/>
      <c r="I358" s="67"/>
      <c r="J358" s="67"/>
      <c r="K358" s="67"/>
      <c r="L358" s="67"/>
      <c r="M358" s="67"/>
      <c r="N358" s="67"/>
      <c r="O358" s="67"/>
    </row>
    <row r="359" spans="2:15" x14ac:dyDescent="0.55000000000000004">
      <c r="B359" s="271" t="s">
        <v>943</v>
      </c>
      <c r="C359" s="272"/>
      <c r="D359" s="272"/>
      <c r="E359" s="272"/>
      <c r="F359" s="272"/>
      <c r="G359" s="272">
        <f>G292</f>
        <v>1009.6193399999999</v>
      </c>
      <c r="H359" s="272">
        <f>H292</f>
        <v>1642.9159399999999</v>
      </c>
      <c r="I359" s="272">
        <f>I292</f>
        <v>2217.9365189999999</v>
      </c>
      <c r="J359" s="272">
        <f t="shared" ref="J359:O359" si="162">J292</f>
        <v>2750.2412835599998</v>
      </c>
      <c r="K359" s="272">
        <f t="shared" si="162"/>
        <v>3245.2847146007998</v>
      </c>
      <c r="L359" s="272">
        <f t="shared" si="162"/>
        <v>3829.4359632289434</v>
      </c>
      <c r="M359" s="272">
        <f t="shared" si="162"/>
        <v>4442.1457173455738</v>
      </c>
      <c r="N359" s="272">
        <f t="shared" si="162"/>
        <v>4975.2032034270433</v>
      </c>
      <c r="O359" s="272">
        <f t="shared" si="162"/>
        <v>5422.9714917354777</v>
      </c>
    </row>
    <row r="360" spans="2:15" x14ac:dyDescent="0.55000000000000004">
      <c r="B360" s="66"/>
      <c r="C360" s="69"/>
      <c r="D360" s="69"/>
      <c r="E360" s="69"/>
      <c r="F360" s="69"/>
      <c r="G360" s="69"/>
      <c r="H360" s="134"/>
      <c r="I360" s="138"/>
      <c r="J360" s="138"/>
      <c r="K360" s="138"/>
      <c r="L360" s="138"/>
      <c r="M360" s="138"/>
      <c r="N360" s="138"/>
      <c r="O360" s="138"/>
    </row>
    <row r="361" spans="2:15" x14ac:dyDescent="0.55000000000000004">
      <c r="B361" s="67" t="s">
        <v>937</v>
      </c>
      <c r="C361" s="69"/>
      <c r="D361" s="69"/>
      <c r="E361" s="69"/>
      <c r="F361" s="69"/>
      <c r="G361" s="69"/>
      <c r="H361" s="69"/>
      <c r="I361" s="66"/>
      <c r="J361" s="66"/>
      <c r="K361" s="66"/>
      <c r="L361" s="66"/>
      <c r="M361" s="66"/>
      <c r="N361" s="66"/>
      <c r="O361" s="66"/>
    </row>
    <row r="362" spans="2:15" x14ac:dyDescent="0.55000000000000004">
      <c r="C362" s="69"/>
      <c r="D362" s="69"/>
      <c r="E362" s="69"/>
      <c r="F362" s="69"/>
      <c r="G362" s="69"/>
      <c r="H362" s="69"/>
      <c r="I362" s="66"/>
      <c r="J362" s="66"/>
      <c r="K362" s="66"/>
      <c r="L362" s="66"/>
      <c r="M362" s="66"/>
      <c r="N362" s="66"/>
      <c r="O362" s="66"/>
    </row>
    <row r="363" spans="2:15" x14ac:dyDescent="0.55000000000000004">
      <c r="B363" s="67" t="s">
        <v>726</v>
      </c>
      <c r="C363" s="86"/>
      <c r="D363" s="86"/>
      <c r="E363" s="86"/>
      <c r="F363" s="86"/>
      <c r="G363" s="86">
        <f>0.41*G266</f>
        <v>1089.3261299999997</v>
      </c>
      <c r="H363" s="86">
        <f>H366*H260</f>
        <v>1253.8042699999999</v>
      </c>
      <c r="I363" s="86">
        <f>(1+I365)*H363</f>
        <v>1354.1086115999999</v>
      </c>
      <c r="J363" s="86">
        <f t="shared" ref="J363:O363" si="163">(1+J365)*I363</f>
        <v>1421.8140421799999</v>
      </c>
      <c r="K363" s="86">
        <f t="shared" si="163"/>
        <v>1421.8140421799999</v>
      </c>
      <c r="L363" s="86">
        <f t="shared" si="163"/>
        <v>1350.7233400709999</v>
      </c>
      <c r="M363" s="86">
        <f t="shared" si="163"/>
        <v>1310.20163986887</v>
      </c>
      <c r="N363" s="86">
        <f t="shared" si="163"/>
        <v>1270.8955906728038</v>
      </c>
      <c r="O363" s="86">
        <f t="shared" si="163"/>
        <v>1232.7687229526196</v>
      </c>
    </row>
    <row r="364" spans="2:15" x14ac:dyDescent="0.55000000000000004">
      <c r="B364" s="187" t="s">
        <v>944</v>
      </c>
      <c r="C364" s="86"/>
      <c r="D364" s="86"/>
      <c r="E364" s="86"/>
      <c r="F364" s="86"/>
      <c r="G364" s="86"/>
      <c r="H364" s="86"/>
      <c r="I364" s="86"/>
      <c r="J364" s="86"/>
      <c r="K364" s="86"/>
      <c r="L364" s="86"/>
      <c r="M364" s="86"/>
      <c r="N364" s="86"/>
      <c r="O364" s="86"/>
    </row>
    <row r="365" spans="2:15" x14ac:dyDescent="0.55000000000000004">
      <c r="B365" s="66" t="s">
        <v>243</v>
      </c>
      <c r="C365" s="69"/>
      <c r="D365" s="69"/>
      <c r="E365" s="69"/>
      <c r="F365" s="69"/>
      <c r="G365" s="69"/>
      <c r="H365" s="134">
        <f>H363/G363-1</f>
        <v>0.15099072304453043</v>
      </c>
      <c r="I365" s="138">
        <v>0.08</v>
      </c>
      <c r="J365" s="138">
        <v>0.05</v>
      </c>
      <c r="K365" s="138">
        <v>0</v>
      </c>
      <c r="L365" s="138">
        <v>-0.05</v>
      </c>
      <c r="M365" s="138">
        <v>-0.03</v>
      </c>
      <c r="N365" s="138">
        <v>-0.03</v>
      </c>
      <c r="O365" s="138">
        <v>-0.03</v>
      </c>
    </row>
    <row r="366" spans="2:15" x14ac:dyDescent="0.55000000000000004">
      <c r="B366" s="66" t="s">
        <v>544</v>
      </c>
      <c r="C366" s="69"/>
      <c r="D366" s="69"/>
      <c r="E366" s="69"/>
      <c r="F366" s="69"/>
      <c r="G366" s="134">
        <f>G363/G260</f>
        <v>0.3356891709326591</v>
      </c>
      <c r="H366" s="134">
        <v>0.28999999999999998</v>
      </c>
      <c r="I366" s="134">
        <f t="shared" ref="I366:O366" si="164">I363/I260</f>
        <v>0.25900163015023869</v>
      </c>
      <c r="J366" s="134">
        <f t="shared" si="164"/>
        <v>0.23482071252845582</v>
      </c>
      <c r="K366" s="134">
        <f t="shared" si="164"/>
        <v>0.20737879770425974</v>
      </c>
      <c r="L366" s="134">
        <f t="shared" si="164"/>
        <v>0.17497031558831644</v>
      </c>
      <c r="M366" s="134">
        <f t="shared" si="164"/>
        <v>0.15160549626385747</v>
      </c>
      <c r="N366" s="134">
        <f t="shared" si="164"/>
        <v>0.1344838810718621</v>
      </c>
      <c r="O366" s="134">
        <f t="shared" si="164"/>
        <v>0.120601817002133</v>
      </c>
    </row>
    <row r="367" spans="2:15" x14ac:dyDescent="0.55000000000000004">
      <c r="B367" s="66"/>
      <c r="C367" s="69"/>
      <c r="D367" s="69"/>
      <c r="E367" s="69"/>
      <c r="F367" s="69"/>
      <c r="G367" s="69"/>
      <c r="H367" s="69"/>
      <c r="I367" s="66"/>
      <c r="J367" s="66"/>
      <c r="K367" s="66"/>
      <c r="L367" s="66"/>
      <c r="M367" s="66"/>
      <c r="N367" s="66"/>
      <c r="O367" s="66"/>
    </row>
    <row r="368" spans="2:15" x14ac:dyDescent="0.55000000000000004">
      <c r="B368" s="66" t="s">
        <v>676</v>
      </c>
      <c r="C368" s="69"/>
      <c r="D368" s="69"/>
      <c r="E368" s="69"/>
      <c r="F368" s="69"/>
      <c r="G368" s="69">
        <f>G288-G292-G363</f>
        <v>401.82453000000055</v>
      </c>
      <c r="H368" s="69">
        <f>H288-H292-H363</f>
        <v>466.38279000000034</v>
      </c>
      <c r="I368" s="69">
        <f>(1+I369)*H368</f>
        <v>466.38279000000034</v>
      </c>
      <c r="J368" s="69">
        <f t="shared" ref="J368:O368" si="165">(1+J369)*I368</f>
        <v>466.38279000000034</v>
      </c>
      <c r="K368" s="69">
        <f t="shared" si="165"/>
        <v>457.05513420000034</v>
      </c>
      <c r="L368" s="69">
        <f t="shared" si="165"/>
        <v>447.91403151600031</v>
      </c>
      <c r="M368" s="69">
        <f t="shared" si="165"/>
        <v>438.95575088568029</v>
      </c>
      <c r="N368" s="69">
        <f t="shared" si="165"/>
        <v>430.1766358679667</v>
      </c>
      <c r="O368" s="69">
        <f t="shared" si="165"/>
        <v>421.57310315060738</v>
      </c>
    </row>
    <row r="369" spans="2:15" x14ac:dyDescent="0.55000000000000004">
      <c r="B369" s="66" t="s">
        <v>243</v>
      </c>
      <c r="C369" s="69" t="s">
        <v>371</v>
      </c>
      <c r="D369" s="69"/>
      <c r="E369" s="69"/>
      <c r="F369" s="69"/>
      <c r="G369" s="69"/>
      <c r="H369" s="134">
        <f>H368/G368-1</f>
        <v>0.16066281468679811</v>
      </c>
      <c r="I369" s="138">
        <v>0</v>
      </c>
      <c r="J369" s="138">
        <v>0</v>
      </c>
      <c r="K369" s="138">
        <v>-0.02</v>
      </c>
      <c r="L369" s="138">
        <v>-0.02</v>
      </c>
      <c r="M369" s="138">
        <v>-0.02</v>
      </c>
      <c r="N369" s="138">
        <v>-0.02</v>
      </c>
      <c r="O369" s="138">
        <v>-0.02</v>
      </c>
    </row>
    <row r="370" spans="2:15" x14ac:dyDescent="0.55000000000000004">
      <c r="B370" s="66" t="s">
        <v>586</v>
      </c>
      <c r="C370" s="69"/>
      <c r="D370" s="69"/>
      <c r="E370" s="69"/>
      <c r="F370" s="69"/>
      <c r="G370" s="134">
        <f t="shared" ref="G370:O370" si="166">G368/G260</f>
        <v>0.12382714379219528</v>
      </c>
      <c r="H370" s="134">
        <f t="shared" si="166"/>
        <v>0.10787250636815914</v>
      </c>
      <c r="I370" s="134">
        <f t="shared" si="166"/>
        <v>8.920547572715587E-2</v>
      </c>
      <c r="J370" s="134">
        <f t="shared" si="166"/>
        <v>7.702578242292013E-2</v>
      </c>
      <c r="K370" s="134">
        <f t="shared" si="166"/>
        <v>6.6663812146367643E-2</v>
      </c>
      <c r="L370" s="134">
        <f t="shared" si="166"/>
        <v>5.8021992458255837E-2</v>
      </c>
      <c r="M370" s="134">
        <f t="shared" si="166"/>
        <v>5.0792261607578312E-2</v>
      </c>
      <c r="N370" s="134">
        <f t="shared" si="166"/>
        <v>4.5520516368567292E-2</v>
      </c>
      <c r="O370" s="134">
        <f t="shared" si="166"/>
        <v>4.1242514749577228E-2</v>
      </c>
    </row>
    <row r="371" spans="2:15" x14ac:dyDescent="0.55000000000000004">
      <c r="B371" s="66"/>
      <c r="C371" s="69"/>
      <c r="D371" s="69"/>
      <c r="E371" s="69"/>
      <c r="F371" s="69"/>
      <c r="G371" s="69"/>
      <c r="H371" s="69"/>
    </row>
    <row r="372" spans="2:15" x14ac:dyDescent="0.55000000000000004">
      <c r="B372" s="67" t="s">
        <v>728</v>
      </c>
      <c r="C372" s="69"/>
      <c r="D372" s="69"/>
      <c r="E372" s="69"/>
      <c r="F372" s="69"/>
      <c r="G372" s="69"/>
      <c r="H372" s="69"/>
    </row>
    <row r="373" spans="2:15" x14ac:dyDescent="0.55000000000000004">
      <c r="B373" s="66" t="s">
        <v>946</v>
      </c>
      <c r="C373" s="69"/>
      <c r="D373" s="69"/>
      <c r="E373" s="69"/>
      <c r="F373" s="69"/>
      <c r="G373" s="69">
        <f t="shared" ref="G373:O373" si="167">G308</f>
        <v>828</v>
      </c>
      <c r="H373" s="69">
        <f t="shared" si="167"/>
        <v>1248</v>
      </c>
      <c r="I373" s="69">
        <f t="shared" si="167"/>
        <v>1543.3600000000001</v>
      </c>
      <c r="J373" s="69">
        <f t="shared" si="167"/>
        <v>1804.8996754285718</v>
      </c>
      <c r="K373" s="69">
        <f t="shared" si="167"/>
        <v>2059.001237577143</v>
      </c>
      <c r="L373" s="69">
        <f t="shared" si="167"/>
        <v>2335.0341002916571</v>
      </c>
      <c r="M373" s="69">
        <f t="shared" si="167"/>
        <v>2601.8589664953611</v>
      </c>
      <c r="N373" s="69">
        <f t="shared" si="167"/>
        <v>2855.4550364081683</v>
      </c>
      <c r="O373" s="69">
        <f t="shared" si="167"/>
        <v>3098.501553928596</v>
      </c>
    </row>
    <row r="374" spans="2:15" x14ac:dyDescent="0.55000000000000004">
      <c r="B374" s="66" t="s">
        <v>890</v>
      </c>
      <c r="C374" s="69"/>
      <c r="D374" s="69"/>
      <c r="E374" s="69"/>
      <c r="F374" s="69"/>
      <c r="G374" s="69">
        <f t="shared" ref="G374:O374" si="168">G343</f>
        <v>109.37254932456453</v>
      </c>
      <c r="H374" s="69">
        <f t="shared" si="168"/>
        <v>199.24118814432993</v>
      </c>
      <c r="I374" s="69">
        <f t="shared" si="168"/>
        <v>307.2411881443299</v>
      </c>
      <c r="J374" s="69">
        <f t="shared" si="168"/>
        <v>396.9</v>
      </c>
      <c r="K374" s="69">
        <f t="shared" si="168"/>
        <v>478.92600000000004</v>
      </c>
      <c r="L374" s="69">
        <f t="shared" si="168"/>
        <v>567.29413125000008</v>
      </c>
      <c r="M374" s="69">
        <f t="shared" si="168"/>
        <v>661.84315312500019</v>
      </c>
      <c r="N374" s="69">
        <f t="shared" si="168"/>
        <v>764.42884185937521</v>
      </c>
      <c r="O374" s="69">
        <f t="shared" si="168"/>
        <v>875.61849158437531</v>
      </c>
    </row>
    <row r="375" spans="2:15" x14ac:dyDescent="0.55000000000000004">
      <c r="B375" s="66" t="s">
        <v>714</v>
      </c>
      <c r="C375" s="69"/>
      <c r="D375" s="69"/>
      <c r="E375" s="69"/>
      <c r="F375" s="69"/>
      <c r="G375" s="69">
        <f t="shared" ref="G375:O375" si="169">G322</f>
        <v>0</v>
      </c>
      <c r="H375" s="69">
        <f t="shared" si="169"/>
        <v>35.976666666666674</v>
      </c>
      <c r="I375" s="69">
        <f t="shared" si="169"/>
        <v>109.72883333333336</v>
      </c>
      <c r="J375" s="69">
        <f t="shared" si="169"/>
        <v>268.83564166666673</v>
      </c>
      <c r="K375" s="69">
        <f t="shared" si="169"/>
        <v>483.90415500000012</v>
      </c>
      <c r="L375" s="69">
        <f t="shared" si="169"/>
        <v>725.85623250000003</v>
      </c>
      <c r="M375" s="69">
        <f t="shared" si="169"/>
        <v>943.61310225000022</v>
      </c>
      <c r="N375" s="69">
        <f t="shared" si="169"/>
        <v>1085.1550675875001</v>
      </c>
      <c r="O375" s="69">
        <f t="shared" si="169"/>
        <v>1193.6705743462501</v>
      </c>
    </row>
    <row r="376" spans="2:15" x14ac:dyDescent="0.55000000000000004">
      <c r="B376" s="66" t="s">
        <v>938</v>
      </c>
      <c r="C376" s="69"/>
      <c r="D376" s="69"/>
      <c r="E376" s="69"/>
      <c r="F376" s="69"/>
      <c r="G376" s="69">
        <f t="shared" ref="G376:O376" si="170">G354</f>
        <v>50</v>
      </c>
      <c r="H376" s="69">
        <f t="shared" si="170"/>
        <v>109.99999999999999</v>
      </c>
      <c r="I376" s="69">
        <f t="shared" si="170"/>
        <v>180</v>
      </c>
      <c r="J376" s="69">
        <f t="shared" si="170"/>
        <v>215.79661016949154</v>
      </c>
      <c r="K376" s="69">
        <f t="shared" si="170"/>
        <v>186.90711864406782</v>
      </c>
      <c r="L376" s="69">
        <f t="shared" si="170"/>
        <v>177.29694915254245</v>
      </c>
      <c r="M376" s="69">
        <f t="shared" si="170"/>
        <v>196.91953898305098</v>
      </c>
      <c r="N376" s="69">
        <f t="shared" si="170"/>
        <v>212.81912542372893</v>
      </c>
      <c r="O376" s="69">
        <f t="shared" si="170"/>
        <v>224.62866292881372</v>
      </c>
    </row>
    <row r="377" spans="2:15" x14ac:dyDescent="0.55000000000000004">
      <c r="B377" s="66" t="s">
        <v>947</v>
      </c>
      <c r="C377" s="69"/>
      <c r="D377" s="69"/>
      <c r="E377" s="69"/>
      <c r="F377" s="69"/>
      <c r="G377" s="69">
        <f t="shared" ref="G377:O377" si="171">G357</f>
        <v>22.246790675435321</v>
      </c>
      <c r="H377" s="69">
        <f t="shared" si="171"/>
        <v>49.698085189003265</v>
      </c>
      <c r="I377" s="69">
        <f t="shared" si="171"/>
        <v>77.606497522336497</v>
      </c>
      <c r="J377" s="69">
        <f t="shared" si="171"/>
        <v>63.809356295269765</v>
      </c>
      <c r="K377" s="69">
        <f t="shared" si="171"/>
        <v>36.546203379588775</v>
      </c>
      <c r="L377" s="69">
        <f t="shared" si="171"/>
        <v>23.954550034743733</v>
      </c>
      <c r="M377" s="69">
        <f t="shared" si="171"/>
        <v>37.91095649216129</v>
      </c>
      <c r="N377" s="69">
        <f t="shared" si="171"/>
        <v>57.345132148270721</v>
      </c>
      <c r="O377" s="69">
        <f t="shared" si="171"/>
        <v>30.552208947442608</v>
      </c>
    </row>
    <row r="378" spans="2:15" x14ac:dyDescent="0.55000000000000004">
      <c r="B378" s="66" t="s">
        <v>172</v>
      </c>
      <c r="C378" s="69"/>
      <c r="D378" s="69"/>
      <c r="E378" s="69"/>
      <c r="F378" s="69"/>
      <c r="G378" s="69">
        <f t="shared" ref="G378:O378" si="172">G263</f>
        <v>588.15100000000029</v>
      </c>
      <c r="H378" s="69">
        <f t="shared" si="172"/>
        <v>755.17099999999937</v>
      </c>
      <c r="I378" s="69">
        <f t="shared" si="172"/>
        <v>891.89099999999996</v>
      </c>
      <c r="J378" s="69">
        <f t="shared" si="172"/>
        <v>1114.86375</v>
      </c>
      <c r="K378" s="69">
        <f t="shared" si="172"/>
        <v>1427.0256000000004</v>
      </c>
      <c r="L378" s="69">
        <f t="shared" si="172"/>
        <v>1783.7820000000004</v>
      </c>
      <c r="M378" s="69">
        <f t="shared" si="172"/>
        <v>2140.5384000000004</v>
      </c>
      <c r="N378" s="69">
        <f t="shared" si="172"/>
        <v>2461.6191600000006</v>
      </c>
      <c r="O378" s="69">
        <f t="shared" si="172"/>
        <v>2830.8620339999998</v>
      </c>
    </row>
    <row r="379" spans="2:15" x14ac:dyDescent="0.55000000000000004">
      <c r="B379" s="66" t="s">
        <v>390</v>
      </c>
      <c r="C379" s="69"/>
      <c r="D379" s="69"/>
      <c r="E379" s="69"/>
      <c r="F379" s="69"/>
      <c r="G379" s="69">
        <f t="shared" ref="G379:O379" si="173">G282</f>
        <v>156.12299999999959</v>
      </c>
      <c r="H379" s="69">
        <f t="shared" si="173"/>
        <v>205.18900000000031</v>
      </c>
      <c r="I379" s="69">
        <f t="shared" si="173"/>
        <v>297.86675072000003</v>
      </c>
      <c r="J379" s="69">
        <f t="shared" si="173"/>
        <v>301.59008510400002</v>
      </c>
      <c r="K379" s="69">
        <f t="shared" si="173"/>
        <v>304.94108604960007</v>
      </c>
      <c r="L379" s="69">
        <f t="shared" si="173"/>
        <v>307.87321187700007</v>
      </c>
      <c r="M379" s="69">
        <f t="shared" si="173"/>
        <v>310.33619757201603</v>
      </c>
      <c r="N379" s="69">
        <f t="shared" si="173"/>
        <v>312.27579880684112</v>
      </c>
      <c r="O379" s="69">
        <f t="shared" si="173"/>
        <v>313.63351967121872</v>
      </c>
    </row>
    <row r="380" spans="2:15" x14ac:dyDescent="0.55000000000000004">
      <c r="B380" s="66" t="s">
        <v>727</v>
      </c>
      <c r="C380" s="69"/>
      <c r="D380" s="69"/>
      <c r="E380" s="69"/>
      <c r="F380" s="69"/>
      <c r="G380" s="69">
        <f t="shared" ref="G380:O380" si="174">G363</f>
        <v>1089.3261299999997</v>
      </c>
      <c r="H380" s="69">
        <f t="shared" si="174"/>
        <v>1253.8042699999999</v>
      </c>
      <c r="I380" s="69">
        <f t="shared" si="174"/>
        <v>1354.1086115999999</v>
      </c>
      <c r="J380" s="69">
        <f t="shared" si="174"/>
        <v>1421.8140421799999</v>
      </c>
      <c r="K380" s="69">
        <f t="shared" si="174"/>
        <v>1421.8140421799999</v>
      </c>
      <c r="L380" s="69">
        <f t="shared" si="174"/>
        <v>1350.7233400709999</v>
      </c>
      <c r="M380" s="69">
        <f t="shared" si="174"/>
        <v>1310.20163986887</v>
      </c>
      <c r="N380" s="69">
        <f t="shared" si="174"/>
        <v>1270.8955906728038</v>
      </c>
      <c r="O380" s="69">
        <f t="shared" si="174"/>
        <v>1232.7687229526196</v>
      </c>
    </row>
    <row r="381" spans="2:15" x14ac:dyDescent="0.55000000000000004">
      <c r="B381" s="87" t="s">
        <v>892</v>
      </c>
      <c r="C381" s="88"/>
      <c r="D381" s="88"/>
      <c r="E381" s="88"/>
      <c r="F381" s="88"/>
      <c r="G381" s="88">
        <f t="shared" ref="G381:O381" si="175">G368</f>
        <v>401.82453000000055</v>
      </c>
      <c r="H381" s="88">
        <f t="shared" si="175"/>
        <v>466.38279000000034</v>
      </c>
      <c r="I381" s="88">
        <f t="shared" si="175"/>
        <v>466.38279000000034</v>
      </c>
      <c r="J381" s="88">
        <f t="shared" si="175"/>
        <v>466.38279000000034</v>
      </c>
      <c r="K381" s="88">
        <f t="shared" si="175"/>
        <v>457.05513420000034</v>
      </c>
      <c r="L381" s="88">
        <f t="shared" si="175"/>
        <v>447.91403151600031</v>
      </c>
      <c r="M381" s="88">
        <f t="shared" si="175"/>
        <v>438.95575088568029</v>
      </c>
      <c r="N381" s="88">
        <f t="shared" si="175"/>
        <v>430.1766358679667</v>
      </c>
      <c r="O381" s="88">
        <f t="shared" si="175"/>
        <v>421.57310315060738</v>
      </c>
    </row>
    <row r="382" spans="2:15" x14ac:dyDescent="0.55000000000000004">
      <c r="B382" s="66" t="s">
        <v>277</v>
      </c>
      <c r="C382" s="69"/>
      <c r="D382" s="69"/>
      <c r="E382" s="69"/>
      <c r="F382" s="69"/>
      <c r="G382" s="69">
        <f t="shared" ref="G382:O382" si="176">SUM(G373:G381)</f>
        <v>3245.0439999999999</v>
      </c>
      <c r="H382" s="69">
        <f t="shared" si="176"/>
        <v>4323.4629999999997</v>
      </c>
      <c r="I382" s="69">
        <f t="shared" si="176"/>
        <v>5228.1856713200004</v>
      </c>
      <c r="J382" s="69">
        <f t="shared" si="176"/>
        <v>6054.8919508440003</v>
      </c>
      <c r="K382" s="69">
        <f t="shared" si="176"/>
        <v>6856.1205770304005</v>
      </c>
      <c r="L382" s="69">
        <f t="shared" si="176"/>
        <v>7719.7285466929443</v>
      </c>
      <c r="M382" s="69">
        <f t="shared" si="176"/>
        <v>8642.1777056721403</v>
      </c>
      <c r="N382" s="69">
        <f t="shared" si="176"/>
        <v>9450.1703887746553</v>
      </c>
      <c r="O382" s="69">
        <f t="shared" si="176"/>
        <v>10221.808871509924</v>
      </c>
    </row>
    <row r="383" spans="2:15" x14ac:dyDescent="0.55000000000000004">
      <c r="B383" s="66"/>
      <c r="C383" s="69"/>
      <c r="D383" s="69"/>
      <c r="E383" s="69"/>
      <c r="F383" s="69"/>
      <c r="G383" s="69"/>
      <c r="H383" s="69"/>
      <c r="I383" s="69"/>
      <c r="J383" s="69"/>
      <c r="K383" s="69"/>
      <c r="L383" s="69"/>
      <c r="M383" s="69"/>
      <c r="N383" s="69"/>
      <c r="O383" s="69"/>
    </row>
    <row r="384" spans="2:15" x14ac:dyDescent="0.55000000000000004">
      <c r="B384" s="67" t="s">
        <v>729</v>
      </c>
      <c r="C384" s="69"/>
      <c r="D384" s="69"/>
      <c r="E384" s="69"/>
      <c r="F384" s="69"/>
      <c r="G384" s="69"/>
      <c r="H384" s="69"/>
      <c r="I384" s="69"/>
      <c r="J384" s="69"/>
      <c r="K384" s="69"/>
      <c r="L384" s="69"/>
      <c r="M384" s="69"/>
      <c r="N384" s="69"/>
      <c r="O384" s="69"/>
    </row>
    <row r="385" spans="2:15" x14ac:dyDescent="0.55000000000000004">
      <c r="B385" s="66" t="str">
        <f t="shared" ref="B385:B394" si="177">B373</f>
        <v>Cash App card</v>
      </c>
      <c r="C385" s="69"/>
      <c r="D385" s="69"/>
      <c r="E385" s="69"/>
      <c r="F385" s="69"/>
      <c r="G385" s="134">
        <f t="shared" ref="G385:O385" si="178">G373/G$382</f>
        <v>0.25515832759124374</v>
      </c>
      <c r="H385" s="134">
        <f t="shared" si="178"/>
        <v>0.28865749516070799</v>
      </c>
      <c r="I385" s="134">
        <f t="shared" si="178"/>
        <v>0.2951999215456968</v>
      </c>
      <c r="J385" s="134">
        <f t="shared" si="178"/>
        <v>0.29808949359979647</v>
      </c>
      <c r="K385" s="134">
        <f t="shared" si="178"/>
        <v>0.30031578564637212</v>
      </c>
      <c r="L385" s="134">
        <f t="shared" si="178"/>
        <v>0.302476192804987</v>
      </c>
      <c r="M385" s="134">
        <f t="shared" si="178"/>
        <v>0.3010652008217416</v>
      </c>
      <c r="N385" s="134">
        <f t="shared" si="178"/>
        <v>0.30215910601993046</v>
      </c>
      <c r="O385" s="134">
        <f t="shared" si="178"/>
        <v>0.30312653982062748</v>
      </c>
    </row>
    <row r="386" spans="2:15" x14ac:dyDescent="0.55000000000000004">
      <c r="B386" s="66" t="str">
        <f t="shared" si="177"/>
        <v>Cash App Borrow</v>
      </c>
      <c r="C386" s="69"/>
      <c r="D386" s="69"/>
      <c r="E386" s="69"/>
      <c r="F386" s="69"/>
      <c r="G386" s="134">
        <f t="shared" ref="G386:O386" si="179">G374/G$382</f>
        <v>3.3704488852713411E-2</v>
      </c>
      <c r="H386" s="134">
        <f t="shared" si="179"/>
        <v>4.6083703768097457E-2</v>
      </c>
      <c r="I386" s="134">
        <f t="shared" si="179"/>
        <v>5.8766311577216485E-2</v>
      </c>
      <c r="J386" s="134">
        <f t="shared" si="179"/>
        <v>6.5550302668022919E-2</v>
      </c>
      <c r="K386" s="134">
        <f t="shared" si="179"/>
        <v>6.9853788978641015E-2</v>
      </c>
      <c r="L386" s="134">
        <f t="shared" si="179"/>
        <v>7.3486279707726684E-2</v>
      </c>
      <c r="M386" s="134">
        <f t="shared" si="179"/>
        <v>7.6582914129457336E-2</v>
      </c>
      <c r="N386" s="134">
        <f t="shared" si="179"/>
        <v>8.0890482436951489E-2</v>
      </c>
      <c r="O386" s="134">
        <f t="shared" si="179"/>
        <v>8.5661794560147414E-2</v>
      </c>
    </row>
    <row r="387" spans="2:15" x14ac:dyDescent="0.55000000000000004">
      <c r="B387" s="66" t="str">
        <f t="shared" si="177"/>
        <v>Cash App Pay</v>
      </c>
      <c r="C387" s="69"/>
      <c r="D387" s="69"/>
      <c r="E387" s="69"/>
      <c r="F387" s="69"/>
      <c r="G387" s="134">
        <f t="shared" ref="G387:O387" si="180">G375/G$382</f>
        <v>0</v>
      </c>
      <c r="H387" s="134">
        <f t="shared" si="180"/>
        <v>8.3212616059549199E-3</v>
      </c>
      <c r="I387" s="134">
        <f t="shared" si="180"/>
        <v>2.0987937351817358E-2</v>
      </c>
      <c r="J387" s="134">
        <f t="shared" si="180"/>
        <v>4.4399742200055832E-2</v>
      </c>
      <c r="K387" s="134">
        <f t="shared" si="180"/>
        <v>7.0579878163343809E-2</v>
      </c>
      <c r="L387" s="134">
        <f t="shared" si="180"/>
        <v>9.4026134223456556E-2</v>
      </c>
      <c r="M387" s="134">
        <f t="shared" si="180"/>
        <v>0.1091869589340516</v>
      </c>
      <c r="N387" s="134">
        <f t="shared" si="180"/>
        <v>0.11482915364959947</v>
      </c>
      <c r="O387" s="134">
        <f t="shared" si="180"/>
        <v>0.11677684344825026</v>
      </c>
    </row>
    <row r="388" spans="2:15" x14ac:dyDescent="0.55000000000000004">
      <c r="B388" s="66" t="str">
        <f t="shared" si="177"/>
        <v>Interest on consumer funds</v>
      </c>
      <c r="C388" s="69"/>
      <c r="D388" s="69"/>
      <c r="E388" s="69"/>
      <c r="F388" s="69"/>
      <c r="G388" s="134">
        <f t="shared" ref="G388:O388" si="181">G376/G$382</f>
        <v>1.5408111569519552E-2</v>
      </c>
      <c r="H388" s="134">
        <f t="shared" si="181"/>
        <v>2.5442567682434195E-2</v>
      </c>
      <c r="I388" s="134">
        <f t="shared" si="181"/>
        <v>3.4428769618381594E-2</v>
      </c>
      <c r="J388" s="134">
        <f t="shared" si="181"/>
        <v>3.5640043112480535E-2</v>
      </c>
      <c r="K388" s="134">
        <f t="shared" si="181"/>
        <v>2.7261352326598539E-2</v>
      </c>
      <c r="L388" s="134">
        <f t="shared" si="181"/>
        <v>2.296673362025077E-2</v>
      </c>
      <c r="M388" s="134">
        <f t="shared" si="181"/>
        <v>2.2785870146341279E-2</v>
      </c>
      <c r="N388" s="134">
        <f t="shared" si="181"/>
        <v>2.2520136322253536E-2</v>
      </c>
      <c r="O388" s="134">
        <f t="shared" si="181"/>
        <v>2.1975431721766532E-2</v>
      </c>
    </row>
    <row r="389" spans="2:15" x14ac:dyDescent="0.55000000000000004">
      <c r="B389" s="66" t="str">
        <f t="shared" si="177"/>
        <v>Other fin services (ATM, Studio)</v>
      </c>
      <c r="C389" s="69"/>
      <c r="D389" s="69"/>
      <c r="E389" s="69"/>
      <c r="F389" s="69"/>
      <c r="G389" s="134">
        <f t="shared" ref="G389:O389" si="182">G377/G$382</f>
        <v>6.8556206558170931E-3</v>
      </c>
      <c r="H389" s="134">
        <f t="shared" si="182"/>
        <v>1.1494971782805419E-2</v>
      </c>
      <c r="I389" s="134">
        <f t="shared" si="182"/>
        <v>1.4843867911589028E-2</v>
      </c>
      <c r="J389" s="134">
        <f t="shared" si="182"/>
        <v>1.0538479763685177E-2</v>
      </c>
      <c r="K389" s="134">
        <f t="shared" si="182"/>
        <v>5.3304493363239645E-3</v>
      </c>
      <c r="L389" s="134">
        <f t="shared" si="182"/>
        <v>3.10303009877279E-3</v>
      </c>
      <c r="M389" s="134">
        <f t="shared" si="182"/>
        <v>4.3867365128674807E-3</v>
      </c>
      <c r="N389" s="134">
        <f t="shared" si="182"/>
        <v>6.0681585399124539E-3</v>
      </c>
      <c r="O389" s="134">
        <f t="shared" si="182"/>
        <v>2.9889239107764262E-3</v>
      </c>
    </row>
    <row r="390" spans="2:15" x14ac:dyDescent="0.55000000000000004">
      <c r="B390" s="66" t="str">
        <f t="shared" si="177"/>
        <v>BNPL</v>
      </c>
      <c r="C390" s="69"/>
      <c r="D390" s="69"/>
      <c r="E390" s="69"/>
      <c r="F390" s="69"/>
      <c r="G390" s="134">
        <f t="shared" ref="G390:O390" si="183">G378/G$382</f>
        <v>0.18124592455448996</v>
      </c>
      <c r="H390" s="134">
        <f t="shared" si="183"/>
        <v>0.17466808435737727</v>
      </c>
      <c r="I390" s="134">
        <f t="shared" si="183"/>
        <v>0.17059283202059985</v>
      </c>
      <c r="J390" s="134">
        <f t="shared" si="183"/>
        <v>0.18412611803000009</v>
      </c>
      <c r="K390" s="134">
        <f t="shared" si="183"/>
        <v>0.20813892987542668</v>
      </c>
      <c r="L390" s="134">
        <f t="shared" si="183"/>
        <v>0.23106796945135527</v>
      </c>
      <c r="M390" s="134">
        <f t="shared" si="183"/>
        <v>0.24768507115921673</v>
      </c>
      <c r="N390" s="134">
        <f t="shared" si="183"/>
        <v>0.26048410332622407</v>
      </c>
      <c r="O390" s="134">
        <f t="shared" si="183"/>
        <v>0.27694335411515442</v>
      </c>
    </row>
    <row r="391" spans="2:15" x14ac:dyDescent="0.55000000000000004">
      <c r="B391" s="66" t="str">
        <f t="shared" si="177"/>
        <v>Bitcoin</v>
      </c>
      <c r="C391" s="69"/>
      <c r="D391" s="69"/>
      <c r="E391" s="69"/>
      <c r="F391" s="69"/>
      <c r="G391" s="134">
        <f t="shared" ref="G391:O391" si="184">G379/G$382</f>
        <v>4.8111212051361894E-2</v>
      </c>
      <c r="H391" s="134">
        <f t="shared" si="184"/>
        <v>4.745940927446362E-2</v>
      </c>
      <c r="I391" s="134">
        <f t="shared" si="184"/>
        <v>5.6973254097304332E-2</v>
      </c>
      <c r="J391" s="134">
        <f t="shared" si="184"/>
        <v>4.9809325674583002E-2</v>
      </c>
      <c r="K391" s="134">
        <f t="shared" si="184"/>
        <v>4.4477205822666489E-2</v>
      </c>
      <c r="L391" s="134">
        <f t="shared" si="184"/>
        <v>3.9881352046878635E-2</v>
      </c>
      <c r="M391" s="134">
        <f t="shared" si="184"/>
        <v>3.5909490424888203E-2</v>
      </c>
      <c r="N391" s="134">
        <f t="shared" si="184"/>
        <v>3.304446226469912E-2</v>
      </c>
      <c r="O391" s="134">
        <f t="shared" si="184"/>
        <v>3.0682780671567191E-2</v>
      </c>
    </row>
    <row r="392" spans="2:15" x14ac:dyDescent="0.55000000000000004">
      <c r="B392" s="66" t="str">
        <f t="shared" si="177"/>
        <v>Instant deposits</v>
      </c>
      <c r="C392" s="69"/>
      <c r="D392" s="69"/>
      <c r="E392" s="69"/>
      <c r="F392" s="69"/>
      <c r="G392" s="134">
        <f t="shared" ref="G392:O392" si="185">G380/G$382</f>
        <v>0.3356891709326591</v>
      </c>
      <c r="H392" s="134">
        <f t="shared" si="185"/>
        <v>0.28999999999999998</v>
      </c>
      <c r="I392" s="134">
        <f t="shared" si="185"/>
        <v>0.25900163015023864</v>
      </c>
      <c r="J392" s="134">
        <f t="shared" si="185"/>
        <v>0.23482071252845579</v>
      </c>
      <c r="K392" s="134">
        <f t="shared" si="185"/>
        <v>0.20737879770425974</v>
      </c>
      <c r="L392" s="134">
        <f t="shared" si="185"/>
        <v>0.17497031558831644</v>
      </c>
      <c r="M392" s="134">
        <f t="shared" si="185"/>
        <v>0.15160549626385747</v>
      </c>
      <c r="N392" s="134">
        <f t="shared" si="185"/>
        <v>0.13448388107186213</v>
      </c>
      <c r="O392" s="134">
        <f t="shared" si="185"/>
        <v>0.120601817002133</v>
      </c>
    </row>
    <row r="393" spans="2:15" x14ac:dyDescent="0.55000000000000004">
      <c r="B393" s="87" t="str">
        <f t="shared" si="177"/>
        <v>Other community / P2P *</v>
      </c>
      <c r="C393" s="88"/>
      <c r="D393" s="88"/>
      <c r="E393" s="88"/>
      <c r="F393" s="88"/>
      <c r="G393" s="210">
        <f t="shared" ref="G393:O393" si="186">G381/G$382</f>
        <v>0.12382714379219528</v>
      </c>
      <c r="H393" s="210">
        <f t="shared" si="186"/>
        <v>0.10787250636815914</v>
      </c>
      <c r="I393" s="210">
        <f t="shared" si="186"/>
        <v>8.9205475727155856E-2</v>
      </c>
      <c r="J393" s="210">
        <f t="shared" si="186"/>
        <v>7.702578242292013E-2</v>
      </c>
      <c r="K393" s="210">
        <f t="shared" si="186"/>
        <v>6.6663812146367643E-2</v>
      </c>
      <c r="L393" s="210">
        <f t="shared" si="186"/>
        <v>5.8021992458255837E-2</v>
      </c>
      <c r="M393" s="210">
        <f t="shared" si="186"/>
        <v>5.0792261607578312E-2</v>
      </c>
      <c r="N393" s="210">
        <f t="shared" si="186"/>
        <v>4.5520516368567299E-2</v>
      </c>
      <c r="O393" s="210">
        <f t="shared" si="186"/>
        <v>4.1242514749577228E-2</v>
      </c>
    </row>
    <row r="394" spans="2:15" x14ac:dyDescent="0.55000000000000004">
      <c r="B394" s="66" t="str">
        <f t="shared" si="177"/>
        <v>Total</v>
      </c>
      <c r="C394" s="69"/>
      <c r="D394" s="69"/>
      <c r="E394" s="69"/>
      <c r="F394" s="69"/>
      <c r="G394" s="134">
        <f t="shared" ref="G394:O394" si="187">G382/G$382</f>
        <v>1</v>
      </c>
      <c r="H394" s="134">
        <f t="shared" si="187"/>
        <v>1</v>
      </c>
      <c r="I394" s="134">
        <f t="shared" si="187"/>
        <v>1</v>
      </c>
      <c r="J394" s="134">
        <f t="shared" si="187"/>
        <v>1</v>
      </c>
      <c r="K394" s="134">
        <f t="shared" si="187"/>
        <v>1</v>
      </c>
      <c r="L394" s="134">
        <f t="shared" si="187"/>
        <v>1</v>
      </c>
      <c r="M394" s="134">
        <f t="shared" si="187"/>
        <v>1</v>
      </c>
      <c r="N394" s="134">
        <f t="shared" si="187"/>
        <v>1</v>
      </c>
      <c r="O394" s="134">
        <f t="shared" si="187"/>
        <v>1</v>
      </c>
    </row>
    <row r="395" spans="2:15" x14ac:dyDescent="0.55000000000000004">
      <c r="B395" s="66"/>
      <c r="C395" s="69"/>
      <c r="D395" s="69"/>
      <c r="E395" s="69"/>
      <c r="F395" s="69"/>
      <c r="G395" s="69"/>
      <c r="H395" s="69"/>
    </row>
    <row r="396" spans="2:15" x14ac:dyDescent="0.55000000000000004">
      <c r="B396" s="67" t="s">
        <v>945</v>
      </c>
      <c r="C396" s="69"/>
      <c r="D396" s="69"/>
      <c r="E396" s="69"/>
      <c r="F396" s="69"/>
      <c r="G396" s="69"/>
      <c r="H396" s="69"/>
      <c r="I396" s="69"/>
      <c r="J396" s="69"/>
      <c r="K396" s="69"/>
      <c r="L396" s="69"/>
      <c r="M396" s="69"/>
      <c r="N396" s="69"/>
      <c r="O396" s="69"/>
    </row>
    <row r="397" spans="2:15" x14ac:dyDescent="0.55000000000000004">
      <c r="B397" s="66" t="str">
        <f t="shared" ref="B397:B403" si="188">B385</f>
        <v>Cash App card</v>
      </c>
      <c r="C397" s="69"/>
      <c r="D397" s="69"/>
      <c r="E397" s="69"/>
      <c r="F397" s="69"/>
      <c r="G397" s="134"/>
      <c r="H397" s="134">
        <f t="shared" ref="H397:O405" si="189">(H373-G373)/(H$382-G$382)*H$406</f>
        <v>0.12942813718396423</v>
      </c>
      <c r="I397" s="134">
        <f t="shared" si="189"/>
        <v>6.8315607188034255E-2</v>
      </c>
      <c r="J397" s="134">
        <f t="shared" si="189"/>
        <v>5.0024940174425485E-2</v>
      </c>
      <c r="K397" s="134">
        <f t="shared" si="189"/>
        <v>4.1966324785226196E-2</v>
      </c>
      <c r="L397" s="134">
        <f t="shared" si="189"/>
        <v>4.0260794659780101E-2</v>
      </c>
      <c r="M397" s="134">
        <f t="shared" si="189"/>
        <v>3.4564021855147863E-2</v>
      </c>
      <c r="N397" s="134">
        <f t="shared" si="189"/>
        <v>2.9344000846726871E-2</v>
      </c>
      <c r="O397" s="134">
        <f t="shared" si="189"/>
        <v>2.5718744479901579E-2</v>
      </c>
    </row>
    <row r="398" spans="2:15" x14ac:dyDescent="0.55000000000000004">
      <c r="B398" s="66" t="str">
        <f t="shared" si="188"/>
        <v>Cash App Borrow</v>
      </c>
      <c r="C398" s="69"/>
      <c r="D398" s="69"/>
      <c r="E398" s="69"/>
      <c r="F398" s="69"/>
      <c r="G398" s="134"/>
      <c r="H398" s="134">
        <f t="shared" si="189"/>
        <v>2.7694120270716018E-2</v>
      </c>
      <c r="I398" s="134">
        <f t="shared" si="189"/>
        <v>2.4979975542753573E-2</v>
      </c>
      <c r="J398" s="134">
        <f t="shared" si="189"/>
        <v>1.7149125431314912E-2</v>
      </c>
      <c r="K398" s="134">
        <f t="shared" si="189"/>
        <v>1.3547062551391412E-2</v>
      </c>
      <c r="L398" s="134">
        <f t="shared" si="189"/>
        <v>1.2888940656331779E-2</v>
      </c>
      <c r="M398" s="134">
        <f t="shared" si="189"/>
        <v>1.2247713284621115E-2</v>
      </c>
      <c r="N398" s="134">
        <f t="shared" si="189"/>
        <v>1.1870351690065893E-2</v>
      </c>
      <c r="O398" s="134">
        <f t="shared" si="189"/>
        <v>1.1765888354465672E-2</v>
      </c>
    </row>
    <row r="399" spans="2:15" x14ac:dyDescent="0.55000000000000004">
      <c r="B399" s="66" t="str">
        <f t="shared" si="188"/>
        <v>Cash App Pay</v>
      </c>
      <c r="C399" s="69"/>
      <c r="D399" s="69"/>
      <c r="E399" s="69"/>
      <c r="F399" s="69"/>
      <c r="G399" s="134"/>
      <c r="H399" s="134">
        <f t="shared" si="189"/>
        <v>1.1086649877988304E-2</v>
      </c>
      <c r="I399" s="134">
        <f t="shared" si="189"/>
        <v>1.7058586292207589E-2</v>
      </c>
      <c r="J399" s="134">
        <f t="shared" si="189"/>
        <v>3.0432509160135165E-2</v>
      </c>
      <c r="K399" s="134">
        <f t="shared" si="189"/>
        <v>3.5519793760044653E-2</v>
      </c>
      <c r="L399" s="134">
        <f t="shared" si="189"/>
        <v>3.5289939081671884E-2</v>
      </c>
      <c r="M399" s="134">
        <f t="shared" si="189"/>
        <v>2.8207840267036967E-2</v>
      </c>
      <c r="N399" s="134">
        <f t="shared" si="189"/>
        <v>1.6378043840107725E-2</v>
      </c>
      <c r="O399" s="134">
        <f t="shared" si="189"/>
        <v>1.1482915364959942E-2</v>
      </c>
    </row>
    <row r="400" spans="2:15" x14ac:dyDescent="0.55000000000000004">
      <c r="B400" s="66" t="str">
        <f t="shared" si="188"/>
        <v>Interest on consumer funds</v>
      </c>
      <c r="C400" s="69"/>
      <c r="D400" s="69"/>
      <c r="E400" s="69"/>
      <c r="F400" s="69"/>
      <c r="G400" s="134"/>
      <c r="H400" s="134">
        <f t="shared" si="189"/>
        <v>1.8489733883423454E-2</v>
      </c>
      <c r="I400" s="134">
        <f t="shared" si="189"/>
        <v>1.6190724888821766E-2</v>
      </c>
      <c r="J400" s="134">
        <f t="shared" si="189"/>
        <v>6.846851359135776E-3</v>
      </c>
      <c r="K400" s="134">
        <f t="shared" si="189"/>
        <v>-4.7712645840685504E-3</v>
      </c>
      <c r="L400" s="134">
        <f t="shared" si="189"/>
        <v>-1.4016920186208032E-3</v>
      </c>
      <c r="M400" s="134">
        <f t="shared" si="189"/>
        <v>2.5418756257841006E-3</v>
      </c>
      <c r="N400" s="134">
        <f t="shared" si="189"/>
        <v>1.8397662003921242E-3</v>
      </c>
      <c r="O400" s="134">
        <f t="shared" si="189"/>
        <v>1.2496639763355688E-3</v>
      </c>
    </row>
    <row r="401" spans="2:15" x14ac:dyDescent="0.55000000000000004">
      <c r="B401" s="66" t="str">
        <f t="shared" si="188"/>
        <v>Other fin services (ATM, Studio)</v>
      </c>
      <c r="C401" s="69"/>
      <c r="D401" s="69"/>
      <c r="E401" s="69"/>
      <c r="F401" s="69"/>
      <c r="G401" s="134"/>
      <c r="H401" s="134">
        <f t="shared" si="189"/>
        <v>8.4594521718558951E-3</v>
      </c>
      <c r="I401" s="134">
        <f t="shared" si="189"/>
        <v>6.4551060881828373E-3</v>
      </c>
      <c r="J401" s="134">
        <f t="shared" si="189"/>
        <v>-2.6389922038830833E-3</v>
      </c>
      <c r="K401" s="134">
        <f t="shared" si="189"/>
        <v>-4.5026654706663647E-3</v>
      </c>
      <c r="L401" s="134">
        <f t="shared" si="189"/>
        <v>-1.8365565779327176E-3</v>
      </c>
      <c r="M401" s="134">
        <f t="shared" si="189"/>
        <v>1.8078882402408219E-3</v>
      </c>
      <c r="N401" s="134">
        <f t="shared" si="189"/>
        <v>2.2487590880426083E-3</v>
      </c>
      <c r="O401" s="134">
        <f t="shared" si="189"/>
        <v>-2.8351788484844635E-3</v>
      </c>
    </row>
    <row r="402" spans="2:15" x14ac:dyDescent="0.55000000000000004">
      <c r="B402" s="66" t="str">
        <f t="shared" si="188"/>
        <v>BNPL</v>
      </c>
      <c r="C402" s="69"/>
      <c r="D402" s="69"/>
      <c r="E402" s="69"/>
      <c r="F402" s="69"/>
      <c r="G402" s="134"/>
      <c r="H402" s="134">
        <f t="shared" si="189"/>
        <v>5.1469255886822822E-2</v>
      </c>
      <c r="I402" s="134">
        <f t="shared" si="189"/>
        <v>3.1622798668567445E-2</v>
      </c>
      <c r="J402" s="134">
        <f t="shared" si="189"/>
        <v>4.2648208005149957E-2</v>
      </c>
      <c r="K402" s="134">
        <f t="shared" si="189"/>
        <v>5.1555313048400081E-2</v>
      </c>
      <c r="L402" s="134">
        <f t="shared" si="189"/>
        <v>5.2034732468856648E-2</v>
      </c>
      <c r="M402" s="134">
        <f t="shared" si="189"/>
        <v>4.6213593890271E-2</v>
      </c>
      <c r="N402" s="134">
        <f t="shared" si="189"/>
        <v>3.7152760673882554E-2</v>
      </c>
      <c r="O402" s="134">
        <f t="shared" si="189"/>
        <v>3.907261549893349E-2</v>
      </c>
    </row>
    <row r="403" spans="2:15" x14ac:dyDescent="0.55000000000000004">
      <c r="B403" s="66" t="str">
        <f t="shared" si="188"/>
        <v>Bitcoin</v>
      </c>
      <c r="C403" s="69"/>
      <c r="D403" s="69"/>
      <c r="E403" s="69"/>
      <c r="F403" s="69"/>
      <c r="G403" s="134"/>
      <c r="H403" s="134">
        <f t="shared" si="189"/>
        <v>1.5120288045401144E-2</v>
      </c>
      <c r="I403" s="134">
        <f t="shared" si="189"/>
        <v>2.1435999503175981E-2</v>
      </c>
      <c r="J403" s="134">
        <f t="shared" si="189"/>
        <v>7.1216567621630339E-4</v>
      </c>
      <c r="K403" s="134">
        <f t="shared" si="189"/>
        <v>5.53436951939819E-4</v>
      </c>
      <c r="L403" s="134">
        <f t="shared" si="189"/>
        <v>4.2766544060256228E-4</v>
      </c>
      <c r="M403" s="134">
        <f t="shared" si="189"/>
        <v>3.1905081637502339E-4</v>
      </c>
      <c r="N403" s="134">
        <f t="shared" si="189"/>
        <v>2.2443431515555028E-4</v>
      </c>
      <c r="O403" s="134">
        <f t="shared" si="189"/>
        <v>1.4367157506391204E-4</v>
      </c>
    </row>
    <row r="404" spans="2:15" x14ac:dyDescent="0.55000000000000004">
      <c r="B404" s="66" t="str">
        <f>B392</f>
        <v>Instant deposits</v>
      </c>
      <c r="C404" s="69"/>
      <c r="D404" s="69"/>
      <c r="E404" s="69"/>
      <c r="F404" s="69"/>
      <c r="G404" s="134"/>
      <c r="H404" s="134">
        <f t="shared" si="189"/>
        <v>5.0685950637341173E-2</v>
      </c>
      <c r="I404" s="134">
        <f t="shared" si="189"/>
        <v>2.3200000000000012E-2</v>
      </c>
      <c r="J404" s="134">
        <f t="shared" si="189"/>
        <v>1.2950081507511925E-2</v>
      </c>
      <c r="K404" s="134">
        <f t="shared" si="189"/>
        <v>0</v>
      </c>
      <c r="L404" s="134">
        <f t="shared" si="189"/>
        <v>-1.0368939885212978E-2</v>
      </c>
      <c r="M404" s="134">
        <f t="shared" si="189"/>
        <v>-5.249109467649486E-3</v>
      </c>
      <c r="N404" s="134">
        <f t="shared" si="189"/>
        <v>-4.5481648879157344E-3</v>
      </c>
      <c r="O404" s="134">
        <f t="shared" si="189"/>
        <v>-4.0345164321558746E-3</v>
      </c>
    </row>
    <row r="405" spans="2:15" x14ac:dyDescent="0.55000000000000004">
      <c r="B405" s="87" t="str">
        <f>B393</f>
        <v>Other community / P2P *</v>
      </c>
      <c r="C405" s="88"/>
      <c r="D405" s="88"/>
      <c r="E405" s="88"/>
      <c r="F405" s="88"/>
      <c r="G405" s="210"/>
      <c r="H405" s="210">
        <f t="shared" si="189"/>
        <v>1.9894417456280962E-2</v>
      </c>
      <c r="I405" s="210">
        <f t="shared" si="189"/>
        <v>0</v>
      </c>
      <c r="J405" s="210">
        <f t="shared" si="189"/>
        <v>0</v>
      </c>
      <c r="K405" s="210">
        <f t="shared" si="189"/>
        <v>-1.5405156484584012E-3</v>
      </c>
      <c r="L405" s="210">
        <f t="shared" si="189"/>
        <v>-1.3332762429273564E-3</v>
      </c>
      <c r="M405" s="210">
        <f t="shared" si="189"/>
        <v>-1.1604398491651172E-3</v>
      </c>
      <c r="N405" s="210">
        <f t="shared" si="189"/>
        <v>-1.0158452321515654E-3</v>
      </c>
      <c r="O405" s="210">
        <f t="shared" si="189"/>
        <v>-9.1041032737134353E-4</v>
      </c>
    </row>
    <row r="406" spans="2:15" x14ac:dyDescent="0.55000000000000004">
      <c r="B406" s="66" t="str">
        <f>B394</f>
        <v>Total</v>
      </c>
      <c r="C406" s="69"/>
      <c r="D406" s="69"/>
      <c r="E406" s="69"/>
      <c r="F406" s="69"/>
      <c r="G406" s="134"/>
      <c r="H406" s="134">
        <f t="shared" ref="H406:O406" si="190">H382/G382-1</f>
        <v>0.33232800541379404</v>
      </c>
      <c r="I406" s="134">
        <f t="shared" si="190"/>
        <v>0.20925879817174353</v>
      </c>
      <c r="J406" s="134">
        <f t="shared" si="190"/>
        <v>0.15812488911000644</v>
      </c>
      <c r="K406" s="134">
        <f t="shared" si="190"/>
        <v>0.13232748539380879</v>
      </c>
      <c r="L406" s="134">
        <f t="shared" si="190"/>
        <v>0.12596160758254915</v>
      </c>
      <c r="M406" s="134">
        <f t="shared" si="190"/>
        <v>0.11949243466266224</v>
      </c>
      <c r="N406" s="134">
        <f t="shared" si="190"/>
        <v>9.349410653430601E-2</v>
      </c>
      <c r="O406" s="134">
        <f t="shared" si="190"/>
        <v>8.1653393641648586E-2</v>
      </c>
    </row>
    <row r="407" spans="2:15" x14ac:dyDescent="0.55000000000000004">
      <c r="B407" s="66"/>
      <c r="C407" s="69"/>
      <c r="D407" s="69"/>
      <c r="E407" s="69"/>
      <c r="F407" s="69"/>
      <c r="G407" s="69"/>
      <c r="H407" s="69"/>
    </row>
    <row r="408" spans="2:15" x14ac:dyDescent="0.55000000000000004">
      <c r="B408" s="66"/>
      <c r="C408" s="69"/>
      <c r="D408" s="69"/>
      <c r="E408" s="69"/>
      <c r="F408" s="69"/>
      <c r="G408" s="69"/>
      <c r="H408" s="69"/>
    </row>
    <row r="409" spans="2:15" x14ac:dyDescent="0.55000000000000004">
      <c r="B409" s="66"/>
      <c r="C409" s="69"/>
      <c r="D409" s="69"/>
      <c r="E409" s="69"/>
      <c r="F409" s="69"/>
      <c r="G409" s="69"/>
      <c r="H409" s="69"/>
    </row>
    <row r="410" spans="2:15" x14ac:dyDescent="0.55000000000000004">
      <c r="B410" s="66"/>
      <c r="C410" s="69"/>
      <c r="D410" s="69"/>
      <c r="E410" s="69"/>
      <c r="F410" s="69"/>
      <c r="G410" s="69"/>
      <c r="H410" s="69"/>
    </row>
    <row r="411" spans="2:15" x14ac:dyDescent="0.55000000000000004">
      <c r="B411" s="66"/>
      <c r="C411" s="69"/>
      <c r="D411" s="69"/>
      <c r="E411" s="69"/>
      <c r="F411" s="69"/>
      <c r="G411" s="69"/>
      <c r="H411" s="69"/>
    </row>
    <row r="412" spans="2:15" x14ac:dyDescent="0.55000000000000004">
      <c r="B412" s="66"/>
      <c r="C412" s="69"/>
      <c r="D412" s="69"/>
      <c r="E412" s="69"/>
      <c r="F412" s="69"/>
      <c r="G412" s="69"/>
      <c r="H412" s="69"/>
    </row>
    <row r="413" spans="2:15" x14ac:dyDescent="0.55000000000000004">
      <c r="B413" s="66"/>
      <c r="C413" s="69"/>
      <c r="D413" s="69"/>
      <c r="E413" s="69"/>
      <c r="F413" s="69"/>
      <c r="G413" s="69"/>
      <c r="H413" s="69"/>
    </row>
    <row r="414" spans="2:15" x14ac:dyDescent="0.55000000000000004">
      <c r="B414" s="66"/>
      <c r="C414" s="69"/>
      <c r="D414" s="69"/>
      <c r="E414" s="69"/>
      <c r="F414" s="69"/>
      <c r="G414" s="69"/>
      <c r="H414" s="69"/>
    </row>
    <row r="415" spans="2:15" x14ac:dyDescent="0.55000000000000004">
      <c r="B415" s="66"/>
      <c r="C415" s="69"/>
      <c r="D415" s="69"/>
      <c r="E415" s="69"/>
      <c r="F415" s="69"/>
      <c r="G415" s="69"/>
      <c r="H415" s="69"/>
    </row>
    <row r="416" spans="2:15" x14ac:dyDescent="0.55000000000000004">
      <c r="B416" s="66"/>
      <c r="C416" s="69"/>
      <c r="D416" s="69"/>
      <c r="E416" s="69"/>
      <c r="F416" s="69"/>
      <c r="G416" s="69"/>
      <c r="H416" s="69"/>
    </row>
    <row r="417" spans="2:8" x14ac:dyDescent="0.55000000000000004">
      <c r="B417" s="66"/>
      <c r="C417" s="69"/>
      <c r="D417" s="69"/>
      <c r="E417" s="69"/>
      <c r="F417" s="69"/>
      <c r="G417" s="69"/>
      <c r="H417" s="69"/>
    </row>
    <row r="418" spans="2:8" x14ac:dyDescent="0.55000000000000004">
      <c r="B418" s="66"/>
      <c r="C418" s="69"/>
      <c r="D418" s="69"/>
      <c r="E418" s="69"/>
      <c r="F418" s="69"/>
      <c r="G418" s="69"/>
      <c r="H418" s="69"/>
    </row>
    <row r="419" spans="2:8" x14ac:dyDescent="0.55000000000000004">
      <c r="B419" s="66"/>
      <c r="C419" s="69"/>
      <c r="D419" s="69"/>
      <c r="E419" s="69"/>
      <c r="F419" s="69"/>
      <c r="G419" s="69"/>
      <c r="H419" s="69"/>
    </row>
  </sheetData>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3718A2-872E-47E8-A758-6D8C403F7BEE}">
  <dimension ref="C1:XFD318"/>
  <sheetViews>
    <sheetView zoomScale="60" workbookViewId="0">
      <selection activeCell="Q2" sqref="Q2"/>
    </sheetView>
  </sheetViews>
  <sheetFormatPr defaultRowHeight="14.4" x14ac:dyDescent="0.55000000000000004"/>
  <cols>
    <col min="3" max="3" width="67.578125" customWidth="1"/>
    <col min="16" max="16" width="8.83984375" customWidth="1"/>
    <col min="17" max="17" width="8.89453125" customWidth="1"/>
    <col min="18" max="18" width="8.83984375" customWidth="1"/>
  </cols>
  <sheetData>
    <row r="1" spans="3:40" x14ac:dyDescent="0.55000000000000004">
      <c r="C1" s="66"/>
      <c r="D1" s="66"/>
      <c r="E1" s="66"/>
      <c r="F1" s="66"/>
      <c r="G1" s="66"/>
      <c r="H1" s="66"/>
      <c r="I1" s="66"/>
      <c r="J1" s="66"/>
      <c r="K1" s="66"/>
      <c r="L1" s="66"/>
      <c r="M1" s="66"/>
      <c r="N1" s="66"/>
      <c r="O1" s="66"/>
      <c r="P1" s="66"/>
    </row>
    <row r="2" spans="3:40" x14ac:dyDescent="0.55000000000000004">
      <c r="C2" s="68" t="s">
        <v>148</v>
      </c>
      <c r="D2" s="92" t="s">
        <v>132</v>
      </c>
      <c r="E2" s="92" t="s">
        <v>133</v>
      </c>
      <c r="F2" s="92" t="s">
        <v>134</v>
      </c>
      <c r="G2" s="92" t="s">
        <v>135</v>
      </c>
      <c r="H2" s="92" t="s">
        <v>136</v>
      </c>
      <c r="I2" s="92" t="s">
        <v>137</v>
      </c>
      <c r="J2" s="92" t="s">
        <v>138</v>
      </c>
      <c r="K2" s="92" t="s">
        <v>139</v>
      </c>
      <c r="L2" s="92" t="s">
        <v>140</v>
      </c>
      <c r="M2" s="92" t="s">
        <v>141</v>
      </c>
      <c r="N2" s="92" t="s">
        <v>142</v>
      </c>
      <c r="O2" s="92" t="s">
        <v>143</v>
      </c>
      <c r="P2" s="92" t="s">
        <v>144</v>
      </c>
      <c r="Q2" s="92" t="s">
        <v>338</v>
      </c>
      <c r="R2" s="92" t="s">
        <v>146</v>
      </c>
      <c r="S2" s="92" t="s">
        <v>147</v>
      </c>
      <c r="T2" s="92" t="s">
        <v>672</v>
      </c>
      <c r="U2" s="92" t="s">
        <v>673</v>
      </c>
      <c r="V2" s="92" t="s">
        <v>674</v>
      </c>
      <c r="W2" s="92" t="s">
        <v>675</v>
      </c>
      <c r="Y2" s="92" t="s">
        <v>136</v>
      </c>
      <c r="Z2" s="92" t="s">
        <v>137</v>
      </c>
      <c r="AA2" s="92" t="s">
        <v>138</v>
      </c>
      <c r="AB2" s="92" t="s">
        <v>139</v>
      </c>
      <c r="AC2" s="92" t="s">
        <v>140</v>
      </c>
      <c r="AD2" s="92" t="s">
        <v>141</v>
      </c>
      <c r="AE2" s="92" t="s">
        <v>142</v>
      </c>
      <c r="AF2" s="92" t="s">
        <v>143</v>
      </c>
      <c r="AG2" s="92" t="s">
        <v>144</v>
      </c>
      <c r="AH2" s="92" t="s">
        <v>338</v>
      </c>
      <c r="AI2" s="92" t="s">
        <v>146</v>
      </c>
      <c r="AJ2" s="92" t="s">
        <v>147</v>
      </c>
      <c r="AK2" s="92" t="str">
        <f>T2</f>
        <v>Q1 25e</v>
      </c>
      <c r="AL2" s="92" t="str">
        <f>U2</f>
        <v>Q2 25e</v>
      </c>
      <c r="AM2" s="92" t="str">
        <f>V2</f>
        <v>Q3 25e</v>
      </c>
      <c r="AN2" s="92" t="str">
        <f>W2</f>
        <v>Q4 25e</v>
      </c>
    </row>
    <row r="3" spans="3:40" x14ac:dyDescent="0.55000000000000004">
      <c r="C3" s="67"/>
      <c r="D3" s="120"/>
      <c r="E3" s="120"/>
      <c r="F3" s="120"/>
      <c r="G3" s="120"/>
      <c r="H3" s="120"/>
      <c r="I3" s="120"/>
      <c r="J3" s="120"/>
      <c r="K3" s="120"/>
      <c r="L3" s="120"/>
      <c r="M3" s="120"/>
      <c r="N3" s="120"/>
      <c r="O3" s="120"/>
      <c r="P3" s="120"/>
      <c r="Q3" s="120"/>
      <c r="R3" s="120"/>
      <c r="S3" s="120"/>
      <c r="T3" s="120"/>
      <c r="U3" s="120"/>
      <c r="V3" s="120"/>
      <c r="W3" s="120"/>
      <c r="Y3" s="120"/>
      <c r="Z3" s="120"/>
      <c r="AA3" s="120"/>
      <c r="AB3" s="120"/>
      <c r="AC3" s="120"/>
      <c r="AD3" s="120"/>
      <c r="AE3" s="120"/>
      <c r="AF3" s="120"/>
      <c r="AG3" s="120"/>
      <c r="AH3" s="120"/>
      <c r="AI3" s="120"/>
      <c r="AJ3" s="120"/>
    </row>
    <row r="4" spans="3:40" x14ac:dyDescent="0.55000000000000004">
      <c r="C4" s="136" t="s">
        <v>238</v>
      </c>
      <c r="D4" s="120"/>
      <c r="E4" s="120"/>
      <c r="F4" s="120"/>
      <c r="G4" s="120"/>
      <c r="H4" s="120"/>
      <c r="I4" s="120"/>
      <c r="J4" s="120"/>
      <c r="K4" s="120"/>
      <c r="L4" s="120"/>
      <c r="M4" s="120"/>
      <c r="N4" s="120"/>
      <c r="O4" s="120"/>
      <c r="P4" s="120"/>
      <c r="Q4" s="120"/>
      <c r="R4" s="120"/>
      <c r="S4" s="120"/>
      <c r="T4" s="120"/>
      <c r="U4" s="120"/>
      <c r="V4" s="120"/>
      <c r="W4" s="120"/>
      <c r="Y4" s="120"/>
      <c r="Z4" s="120"/>
      <c r="AA4" s="120"/>
      <c r="AB4" s="120"/>
      <c r="AC4" s="120"/>
      <c r="AD4" s="120"/>
      <c r="AE4" s="120"/>
      <c r="AF4" s="120"/>
      <c r="AG4" s="120"/>
      <c r="AH4" s="120"/>
      <c r="AI4" s="120"/>
      <c r="AJ4" s="120"/>
    </row>
    <row r="5" spans="3:40" x14ac:dyDescent="0.55000000000000004">
      <c r="C5" s="67"/>
      <c r="D5" s="120"/>
      <c r="E5" s="120"/>
      <c r="F5" s="120"/>
      <c r="G5" s="120"/>
      <c r="H5" s="120"/>
      <c r="I5" s="120"/>
      <c r="J5" s="120"/>
      <c r="K5" s="120"/>
      <c r="L5" s="120"/>
      <c r="M5" s="120"/>
      <c r="N5" s="120"/>
      <c r="O5" s="120"/>
      <c r="P5" s="120"/>
      <c r="Q5" s="120"/>
      <c r="R5" s="120"/>
      <c r="S5" s="120"/>
      <c r="T5" s="120"/>
      <c r="U5" s="120"/>
      <c r="V5" s="120"/>
      <c r="W5" s="120"/>
      <c r="Y5" s="120"/>
      <c r="Z5" s="120"/>
      <c r="AA5" s="120"/>
      <c r="AB5" s="120"/>
      <c r="AC5" s="120"/>
      <c r="AD5" s="120"/>
      <c r="AE5" s="120"/>
      <c r="AF5" s="120"/>
      <c r="AG5" s="120"/>
      <c r="AH5" s="120"/>
      <c r="AI5" s="120"/>
      <c r="AJ5" s="120"/>
    </row>
    <row r="6" spans="3:40" x14ac:dyDescent="0.55000000000000004">
      <c r="C6" s="67" t="s">
        <v>162</v>
      </c>
      <c r="D6" s="120"/>
      <c r="E6" s="120"/>
      <c r="F6" s="120"/>
      <c r="G6" s="120"/>
      <c r="H6" s="120"/>
      <c r="I6" s="120"/>
      <c r="J6" s="120"/>
      <c r="K6" s="120"/>
      <c r="L6" s="120"/>
      <c r="M6" s="120"/>
      <c r="N6" s="120"/>
      <c r="O6" s="120"/>
      <c r="P6" s="120"/>
      <c r="Q6" s="120"/>
      <c r="R6" s="120"/>
      <c r="S6" s="120"/>
      <c r="T6" s="120"/>
      <c r="U6" s="120"/>
      <c r="V6" s="120"/>
      <c r="W6" s="120"/>
      <c r="Y6" s="120"/>
      <c r="Z6" s="120"/>
      <c r="AA6" s="120"/>
      <c r="AB6" s="120"/>
      <c r="AC6" s="120"/>
      <c r="AD6" s="120"/>
      <c r="AE6" s="120"/>
      <c r="AF6" s="120"/>
      <c r="AG6" s="120"/>
      <c r="AH6" s="120"/>
      <c r="AI6" s="120"/>
      <c r="AJ6" s="120"/>
    </row>
    <row r="7" spans="3:40" x14ac:dyDescent="0.55000000000000004">
      <c r="C7" s="66" t="s">
        <v>91</v>
      </c>
      <c r="D7" s="69">
        <f>'Segment feeder'!K8/1000</f>
        <v>867.774</v>
      </c>
      <c r="E7" s="69">
        <f>'Segment feeder'!L8/1000</f>
        <v>1116.5219999999999</v>
      </c>
      <c r="F7" s="69">
        <f>'Segment feeder'!M8/1000</f>
        <v>1193.848</v>
      </c>
      <c r="G7" s="69">
        <f>'Segment feeder'!N8/1000</f>
        <v>1205.1569999999999</v>
      </c>
      <c r="H7" s="69">
        <f>'Segment feeder'!O8/1000</f>
        <v>1123.7280000000001</v>
      </c>
      <c r="I7" s="69">
        <f>'Segment feeder'!P8/1000</f>
        <v>1359.6389999999999</v>
      </c>
      <c r="J7" s="69">
        <f>'Segment feeder'!Q8/1000</f>
        <v>1399.431</v>
      </c>
      <c r="K7" s="69">
        <f>'Segment feeder'!R8/1000</f>
        <v>1352.5709999999999</v>
      </c>
      <c r="L7" s="69">
        <f>'Segment feeder'!S8/1000</f>
        <v>1288.0419999999999</v>
      </c>
      <c r="M7" s="69">
        <f>'Segment feeder'!T8/1000</f>
        <v>1503.913</v>
      </c>
      <c r="N7" s="69">
        <f>'Segment feeder'!U8/1000</f>
        <v>1537.885</v>
      </c>
      <c r="O7" s="69">
        <f>'Segment feeder'!V8/1000</f>
        <v>1487.2840000000001</v>
      </c>
      <c r="P7" s="69">
        <f>'Segment feeder'!W8/1000</f>
        <v>1401.989</v>
      </c>
      <c r="Q7" s="69">
        <f>'Segment feeder'!X8/1000</f>
        <v>1614.0550000000001</v>
      </c>
      <c r="R7" s="120"/>
      <c r="S7" s="120"/>
      <c r="T7" s="120"/>
      <c r="U7" s="120"/>
      <c r="V7" s="120"/>
      <c r="W7" s="120"/>
      <c r="Y7" s="120"/>
      <c r="Z7" s="120"/>
      <c r="AA7" s="120"/>
      <c r="AB7" s="120"/>
      <c r="AC7" s="120"/>
      <c r="AD7" s="120"/>
      <c r="AE7" s="120"/>
      <c r="AF7" s="120"/>
      <c r="AG7" s="120"/>
      <c r="AH7" s="120"/>
      <c r="AI7" s="120"/>
      <c r="AJ7" s="120"/>
    </row>
    <row r="8" spans="3:40" x14ac:dyDescent="0.55000000000000004">
      <c r="C8" s="66" t="s">
        <v>92</v>
      </c>
      <c r="D8" s="69">
        <f>'Segment feeder'!K9/1000</f>
        <v>121.092</v>
      </c>
      <c r="E8" s="69">
        <f>'Segment feeder'!L9/1000</f>
        <v>151.24</v>
      </c>
      <c r="F8" s="69">
        <f>'Segment feeder'!M9/1000</f>
        <v>162.34100000000001</v>
      </c>
      <c r="G8" s="69">
        <f>'Segment feeder'!N9/1000</f>
        <v>229.69399999999999</v>
      </c>
      <c r="H8" s="69">
        <f>'Segment feeder'!O9/1000</f>
        <v>217.768</v>
      </c>
      <c r="I8" s="69">
        <f>'Segment feeder'!P9/1000</f>
        <v>213.77250000000001</v>
      </c>
      <c r="J8" s="69">
        <f>'Segment feeder'!Q9/1000</f>
        <v>226.73650000000001</v>
      </c>
      <c r="K8" s="69">
        <f>'Segment feeder'!R9/1000</f>
        <v>236.07400000000001</v>
      </c>
      <c r="L8" s="69">
        <f>'Segment feeder'!S9/1000</f>
        <v>229.88300000000001</v>
      </c>
      <c r="M8" s="69">
        <f>'Segment feeder'!T9/1000</f>
        <v>262.8775</v>
      </c>
      <c r="N8" s="69">
        <f>'Segment feeder'!U9/1000</f>
        <v>273.15600000000001</v>
      </c>
      <c r="O8" s="69">
        <f>'Segment feeder'!V9/1000</f>
        <v>293.16399999999999</v>
      </c>
      <c r="P8" s="69">
        <f>'Segment feeder'!W9/1000</f>
        <v>296.21800000000002</v>
      </c>
      <c r="Q8" s="69">
        <f>'Segment feeder'!X9/1000</f>
        <v>322.61700000000002</v>
      </c>
      <c r="R8" s="120"/>
      <c r="S8" s="120"/>
      <c r="T8" s="120"/>
      <c r="U8" s="120"/>
      <c r="V8" s="120"/>
      <c r="W8" s="120"/>
      <c r="Y8" s="120"/>
      <c r="Z8" s="120"/>
      <c r="AA8" s="120"/>
      <c r="AB8" s="120"/>
      <c r="AC8" s="120"/>
      <c r="AD8" s="120"/>
      <c r="AE8" s="120"/>
      <c r="AF8" s="120"/>
      <c r="AG8" s="120"/>
      <c r="AH8" s="120"/>
      <c r="AI8" s="120"/>
      <c r="AJ8" s="120"/>
    </row>
    <row r="9" spans="3:40" x14ac:dyDescent="0.55000000000000004">
      <c r="C9" s="66" t="s">
        <v>93</v>
      </c>
      <c r="D9" s="69">
        <f>'Segment feeder'!K10/1000</f>
        <v>28.788</v>
      </c>
      <c r="E9" s="69">
        <f>'Segment feeder'!L10/1000</f>
        <v>43.725999999999999</v>
      </c>
      <c r="F9" s="69">
        <f>'Segment feeder'!M10/1000</f>
        <v>37.255000000000003</v>
      </c>
      <c r="G9" s="69">
        <f>'Segment feeder'!N10/1000</f>
        <v>35.909999999999997</v>
      </c>
      <c r="H9" s="69">
        <f>'Segment feeder'!O10/1000</f>
        <v>37.326000000000001</v>
      </c>
      <c r="I9" s="69">
        <f>'Segment feeder'!P10/1000</f>
        <v>48.051000000000002</v>
      </c>
      <c r="J9" s="69">
        <f>'Segment feeder'!Q10/1000</f>
        <v>43.387999999999998</v>
      </c>
      <c r="K9" s="69">
        <f>'Segment feeder'!R10/1000</f>
        <v>35.652999999999999</v>
      </c>
      <c r="L9" s="69">
        <f>'Segment feeder'!S10/1000</f>
        <v>37.451000000000001</v>
      </c>
      <c r="M9" s="69">
        <f>'Segment feeder'!T10/1000</f>
        <v>44.921999999999997</v>
      </c>
      <c r="N9" s="69">
        <f>'Segment feeder'!U10/1000</f>
        <v>42.341000000000001</v>
      </c>
      <c r="O9" s="69">
        <f>'Segment feeder'!V10/1000</f>
        <v>32.463999999999999</v>
      </c>
      <c r="P9" s="69">
        <f>'Segment feeder'!W10/1000</f>
        <v>31.83</v>
      </c>
      <c r="Q9" s="69">
        <f>'Segment feeder'!X10/1000</f>
        <v>42.817999999999998</v>
      </c>
      <c r="R9" s="120"/>
      <c r="S9" s="120"/>
      <c r="T9" s="120"/>
      <c r="U9" s="120"/>
      <c r="V9" s="120"/>
      <c r="W9" s="120"/>
      <c r="Y9" s="120"/>
      <c r="Z9" s="120"/>
      <c r="AA9" s="120"/>
      <c r="AB9" s="120"/>
      <c r="AC9" s="120"/>
      <c r="AD9" s="120"/>
      <c r="AE9" s="120"/>
      <c r="AF9" s="120"/>
      <c r="AG9" s="120"/>
      <c r="AH9" s="120"/>
      <c r="AI9" s="120"/>
      <c r="AJ9" s="120"/>
    </row>
    <row r="10" spans="3:40" x14ac:dyDescent="0.55000000000000004">
      <c r="C10" s="66" t="s">
        <v>94</v>
      </c>
      <c r="D10" s="69">
        <f>'Segment feeder'!K11/1000</f>
        <v>0</v>
      </c>
      <c r="E10" s="69">
        <f>'Segment feeder'!L11/1000</f>
        <v>0</v>
      </c>
      <c r="F10" s="69">
        <f>'Segment feeder'!M11/1000</f>
        <v>0</v>
      </c>
      <c r="G10" s="69">
        <f>'Segment feeder'!N11/1000</f>
        <v>0</v>
      </c>
      <c r="H10" s="69">
        <f>'Segment feeder'!O11/1000</f>
        <v>0</v>
      </c>
      <c r="I10" s="69">
        <f>'Segment feeder'!P11/1000</f>
        <v>0</v>
      </c>
      <c r="J10" s="69">
        <f>'Segment feeder'!Q11/1000</f>
        <v>0</v>
      </c>
      <c r="K10" s="69">
        <f>'Segment feeder'!R11/1000</f>
        <v>0</v>
      </c>
      <c r="L10" s="69">
        <f>'Segment feeder'!S11/1000</f>
        <v>0</v>
      </c>
      <c r="M10" s="69">
        <f>'Segment feeder'!T11/1000</f>
        <v>0</v>
      </c>
      <c r="N10" s="69">
        <f>'Segment feeder'!U11/1000</f>
        <v>0</v>
      </c>
      <c r="O10" s="69">
        <f>'Segment feeder'!V11/1000</f>
        <v>0</v>
      </c>
      <c r="P10" s="69">
        <f>'Segment feeder'!W11/1000</f>
        <v>0</v>
      </c>
      <c r="Q10" s="69">
        <f>'Segment feeder'!X11/1000</f>
        <v>0</v>
      </c>
      <c r="R10" s="120"/>
      <c r="S10" s="120"/>
      <c r="T10" s="120"/>
      <c r="U10" s="120"/>
      <c r="V10" s="120"/>
      <c r="W10" s="120"/>
      <c r="Y10" s="120"/>
      <c r="Z10" s="120"/>
      <c r="AA10" s="120"/>
      <c r="AB10" s="120"/>
      <c r="AC10" s="120"/>
      <c r="AD10" s="120"/>
      <c r="AE10" s="120"/>
      <c r="AF10" s="120"/>
      <c r="AG10" s="120"/>
      <c r="AH10" s="120"/>
      <c r="AI10" s="120"/>
      <c r="AJ10" s="120"/>
    </row>
    <row r="11" spans="3:40" x14ac:dyDescent="0.55000000000000004">
      <c r="C11" s="67" t="s">
        <v>90</v>
      </c>
      <c r="D11" s="86">
        <f>'Segment feeder'!K12/1000</f>
        <v>1017.654</v>
      </c>
      <c r="E11" s="86">
        <f>'Segment feeder'!L12/1000</f>
        <v>1311.4880000000001</v>
      </c>
      <c r="F11" s="86">
        <f>'Segment feeder'!M12/1000</f>
        <v>1393.444</v>
      </c>
      <c r="G11" s="86">
        <f>'Segment feeder'!N12/1000</f>
        <v>1470.761</v>
      </c>
      <c r="H11" s="86">
        <f>'Segment feeder'!O12/1000</f>
        <v>1378.8219999999999</v>
      </c>
      <c r="I11" s="86">
        <f>'Segment feeder'!P12/1000</f>
        <v>1621.4625000000001</v>
      </c>
      <c r="J11" s="86">
        <f>'Segment feeder'!Q12/1000</f>
        <v>1669.5554999999999</v>
      </c>
      <c r="K11" s="86">
        <f>'Segment feeder'!R12/1000</f>
        <v>1624.298</v>
      </c>
      <c r="L11" s="86">
        <f>'Segment feeder'!S12/1000</f>
        <v>1555.376</v>
      </c>
      <c r="M11" s="86">
        <f>'Segment feeder'!T12/1000</f>
        <v>1811.7125000000001</v>
      </c>
      <c r="N11" s="86">
        <f>'Segment feeder'!U12/1000</f>
        <v>1853.3820000000001</v>
      </c>
      <c r="O11" s="86">
        <f>'Segment feeder'!V12/1000</f>
        <v>1812.912</v>
      </c>
      <c r="P11" s="86">
        <f>'Segment feeder'!W12/1000</f>
        <v>1730.037</v>
      </c>
      <c r="Q11" s="86">
        <f>'Segment feeder'!X12/1000</f>
        <v>1979.49</v>
      </c>
      <c r="R11" s="86">
        <f t="shared" ref="R11:W11" si="0">R201</f>
        <v>2057.2540200000003</v>
      </c>
      <c r="S11" s="86">
        <f t="shared" si="0"/>
        <v>2049.3215120076584</v>
      </c>
      <c r="T11" s="86">
        <f t="shared" si="0"/>
        <v>1920.3410700000002</v>
      </c>
      <c r="U11" s="86">
        <f t="shared" si="0"/>
        <v>2197.2339000000002</v>
      </c>
      <c r="V11" s="86">
        <f t="shared" si="0"/>
        <v>2283.5519622000006</v>
      </c>
      <c r="W11" s="86">
        <f t="shared" si="0"/>
        <v>2274.7468783285017</v>
      </c>
      <c r="Y11" s="109">
        <f t="shared" ref="Y11:AN11" si="1">H11/D11-1</f>
        <v>0.35490255037566776</v>
      </c>
      <c r="Z11" s="109">
        <f t="shared" si="1"/>
        <v>0.2363532872584424</v>
      </c>
      <c r="AA11" s="109">
        <f t="shared" si="1"/>
        <v>0.19815041006312417</v>
      </c>
      <c r="AB11" s="109">
        <f t="shared" si="1"/>
        <v>0.10439289592258705</v>
      </c>
      <c r="AC11" s="109">
        <f t="shared" si="1"/>
        <v>0.12804698503505163</v>
      </c>
      <c r="AD11" s="109">
        <f t="shared" si="1"/>
        <v>0.1173323465698406</v>
      </c>
      <c r="AE11" s="109">
        <f t="shared" si="1"/>
        <v>0.11010505490832756</v>
      </c>
      <c r="AF11" s="109">
        <f t="shared" si="1"/>
        <v>0.11612031782345356</v>
      </c>
      <c r="AG11" s="109">
        <f t="shared" si="1"/>
        <v>0.11229503348386505</v>
      </c>
      <c r="AH11" s="109">
        <f t="shared" si="1"/>
        <v>9.2607132754231047E-2</v>
      </c>
      <c r="AI11" s="109">
        <f t="shared" si="1"/>
        <v>0.1100000000000001</v>
      </c>
      <c r="AJ11" s="109">
        <f t="shared" si="1"/>
        <v>0.13040319221653252</v>
      </c>
      <c r="AK11" s="109">
        <f t="shared" si="1"/>
        <v>0.1100000000000001</v>
      </c>
      <c r="AL11" s="109">
        <f t="shared" si="1"/>
        <v>0.1100000000000001</v>
      </c>
      <c r="AM11" s="109">
        <f t="shared" si="1"/>
        <v>0.1100000000000001</v>
      </c>
      <c r="AN11" s="109">
        <f t="shared" si="1"/>
        <v>0.11000000000000032</v>
      </c>
    </row>
    <row r="12" spans="3:40" x14ac:dyDescent="0.55000000000000004">
      <c r="C12" s="66" t="s">
        <v>96</v>
      </c>
      <c r="D12" s="69">
        <f>'Segment feeder'!K13/1000</f>
        <v>549.63800000000003</v>
      </c>
      <c r="E12" s="69">
        <f>'Segment feeder'!L13/1000</f>
        <v>726.351</v>
      </c>
      <c r="F12" s="69">
        <f>'Segment feeder'!M13/1000</f>
        <v>787.21900000000005</v>
      </c>
      <c r="G12" s="69">
        <f>'Segment feeder'!N13/1000</f>
        <v>813.46900000000005</v>
      </c>
      <c r="H12" s="69">
        <f>'Segment feeder'!O13/1000</f>
        <v>763.74149999999997</v>
      </c>
      <c r="I12" s="69">
        <f>'Segment feeder'!P13/1000</f>
        <v>940.84749999999997</v>
      </c>
      <c r="J12" s="69">
        <f>'Segment feeder'!Q13/1000</f>
        <v>961.45249999999999</v>
      </c>
      <c r="K12" s="69">
        <f>'Segment feeder'!R13/1000</f>
        <v>921.19500000000005</v>
      </c>
      <c r="L12" s="69">
        <f>'Segment feeder'!S13/1000</f>
        <v>863.81500000000005</v>
      </c>
      <c r="M12" s="69">
        <f>'Segment feeder'!T13/1000</f>
        <v>1007.6795</v>
      </c>
      <c r="N12" s="69">
        <f>'Segment feeder'!U13/1000</f>
        <v>1048.0445</v>
      </c>
      <c r="O12" s="69">
        <f>'Segment feeder'!V13/1000</f>
        <v>985.19500000000005</v>
      </c>
      <c r="P12" s="69">
        <f>'Segment feeder'!W13/1000</f>
        <v>909.76499999999999</v>
      </c>
      <c r="Q12" s="69">
        <f>'Segment feeder'!X13/1000</f>
        <v>1056.9059999999999</v>
      </c>
      <c r="R12" s="69">
        <f t="shared" ref="R12:W12" si="2">R11-R13</f>
        <v>1136.6328460500001</v>
      </c>
      <c r="S12" s="69">
        <f t="shared" si="2"/>
        <v>1109.5754187021282</v>
      </c>
      <c r="T12" s="69">
        <f t="shared" si="2"/>
        <v>1017.7807671000002</v>
      </c>
      <c r="U12" s="69">
        <f t="shared" si="2"/>
        <v>1175.5201365</v>
      </c>
      <c r="V12" s="69">
        <f t="shared" si="2"/>
        <v>1233.1180595880003</v>
      </c>
      <c r="W12" s="69">
        <f t="shared" si="2"/>
        <v>1206.4976516342206</v>
      </c>
      <c r="Y12" s="120"/>
      <c r="Z12" s="120"/>
      <c r="AA12" s="120"/>
      <c r="AB12" s="120"/>
      <c r="AC12" s="120"/>
      <c r="AD12" s="120"/>
      <c r="AE12" s="120"/>
      <c r="AF12" s="120"/>
      <c r="AG12" s="120"/>
      <c r="AH12" s="120"/>
      <c r="AI12" s="120"/>
      <c r="AJ12" s="120"/>
    </row>
    <row r="13" spans="3:40" x14ac:dyDescent="0.55000000000000004">
      <c r="C13" s="67" t="s">
        <v>152</v>
      </c>
      <c r="D13" s="86">
        <f>'Segment feeder'!K14/1000</f>
        <v>468.01600000000002</v>
      </c>
      <c r="E13" s="86">
        <f>'Segment feeder'!L14/1000</f>
        <v>585.13699999999994</v>
      </c>
      <c r="F13" s="86">
        <f>'Segment feeder'!M14/1000</f>
        <v>606.22500000000002</v>
      </c>
      <c r="G13" s="86">
        <f>'Segment feeder'!N14/1000</f>
        <v>657.29200000000003</v>
      </c>
      <c r="H13" s="86">
        <f>'Segment feeder'!O14/1000</f>
        <v>615.08050000000003</v>
      </c>
      <c r="I13" s="86">
        <f>'Segment feeder'!P14/1000</f>
        <v>680.61500000000001</v>
      </c>
      <c r="J13" s="86">
        <f>'Segment feeder'!Q14/1000</f>
        <v>708.10299999999995</v>
      </c>
      <c r="K13" s="86">
        <f>'Segment feeder'!R14/1000</f>
        <v>703.10299999999995</v>
      </c>
      <c r="L13" s="86">
        <f>'Segment feeder'!S14/1000</f>
        <v>691.56100000000004</v>
      </c>
      <c r="M13" s="86">
        <f>'Segment feeder'!T14/1000</f>
        <v>804.03300000000002</v>
      </c>
      <c r="N13" s="86">
        <f>'Segment feeder'!U14/1000</f>
        <v>805.33749999999998</v>
      </c>
      <c r="O13" s="86">
        <f>'Segment feeder'!V14/1000</f>
        <v>827.71699999999998</v>
      </c>
      <c r="P13" s="86">
        <f>'Segment feeder'!W14/1000</f>
        <v>820.27200000000005</v>
      </c>
      <c r="Q13" s="86">
        <f>'Segment feeder'!X14/1000</f>
        <v>922.58399999999995</v>
      </c>
      <c r="R13" s="86">
        <f>R14*R11</f>
        <v>920.62117395000018</v>
      </c>
      <c r="S13" s="86">
        <f>Master!I13-P13-Q13-R13</f>
        <v>939.74609330553017</v>
      </c>
      <c r="T13" s="86">
        <f>T14*T11</f>
        <v>902.56030290000001</v>
      </c>
      <c r="U13" s="86">
        <f>U14*U11</f>
        <v>1021.7137635000001</v>
      </c>
      <c r="V13" s="86">
        <f>V14*V11</f>
        <v>1050.4339026120003</v>
      </c>
      <c r="W13" s="86">
        <f>Master!J13-T13-U13-V13</f>
        <v>1068.2492266942811</v>
      </c>
      <c r="Y13" s="109">
        <f t="shared" ref="Y13:AN13" si="3">H13/D13-1</f>
        <v>0.31422964172165058</v>
      </c>
      <c r="Z13" s="109">
        <f t="shared" si="3"/>
        <v>0.16317204347016179</v>
      </c>
      <c r="AA13" s="109">
        <f t="shared" si="3"/>
        <v>0.16805311559239544</v>
      </c>
      <c r="AB13" s="109">
        <f t="shared" si="3"/>
        <v>6.9696573212514323E-2</v>
      </c>
      <c r="AC13" s="109">
        <f t="shared" si="3"/>
        <v>0.12434226089105405</v>
      </c>
      <c r="AD13" s="109">
        <f t="shared" si="3"/>
        <v>0.18133305907157493</v>
      </c>
      <c r="AE13" s="109">
        <f t="shared" si="3"/>
        <v>0.13731688751495197</v>
      </c>
      <c r="AF13" s="109">
        <f t="shared" si="3"/>
        <v>0.17723434546574257</v>
      </c>
      <c r="AG13" s="109">
        <f t="shared" si="3"/>
        <v>0.18611662600985301</v>
      </c>
      <c r="AH13" s="109">
        <f t="shared" si="3"/>
        <v>0.14744544067221121</v>
      </c>
      <c r="AI13" s="109">
        <f t="shared" si="3"/>
        <v>0.14314951675539778</v>
      </c>
      <c r="AJ13" s="109">
        <f t="shared" si="3"/>
        <v>0.13534709726335237</v>
      </c>
      <c r="AK13" s="109">
        <f t="shared" si="3"/>
        <v>0.1003183125841185</v>
      </c>
      <c r="AL13" s="109">
        <f t="shared" si="3"/>
        <v>0.10744795433261389</v>
      </c>
      <c r="AM13" s="109">
        <f t="shared" si="3"/>
        <v>0.14100558659217888</v>
      </c>
      <c r="AN13" s="109">
        <f t="shared" si="3"/>
        <v>0.13674239701997037</v>
      </c>
    </row>
    <row r="14" spans="3:40" x14ac:dyDescent="0.55000000000000004">
      <c r="C14" s="66" t="s">
        <v>171</v>
      </c>
      <c r="D14" s="171">
        <f>D13/D11</f>
        <v>0.45989697873737051</v>
      </c>
      <c r="E14" s="171">
        <f t="shared" ref="E14:S14" si="4">E13/E11</f>
        <v>0.4461626793382783</v>
      </c>
      <c r="F14" s="171">
        <f t="shared" si="4"/>
        <v>0.43505515829843183</v>
      </c>
      <c r="G14" s="171">
        <f t="shared" si="4"/>
        <v>0.44690605747636769</v>
      </c>
      <c r="H14" s="171">
        <f t="shared" si="4"/>
        <v>0.44609130112516343</v>
      </c>
      <c r="I14" s="171">
        <f t="shared" si="4"/>
        <v>0.41975377167217864</v>
      </c>
      <c r="J14" s="171">
        <f t="shared" si="4"/>
        <v>0.42412666125804144</v>
      </c>
      <c r="K14" s="171">
        <f t="shared" si="4"/>
        <v>0.43286576724221781</v>
      </c>
      <c r="L14" s="171">
        <f t="shared" si="4"/>
        <v>0.44462625114441784</v>
      </c>
      <c r="M14" s="171">
        <f t="shared" si="4"/>
        <v>0.44379723604048654</v>
      </c>
      <c r="N14" s="171">
        <f t="shared" si="4"/>
        <v>0.43452321216025619</v>
      </c>
      <c r="O14" s="171">
        <f t="shared" si="4"/>
        <v>0.4565676657223296</v>
      </c>
      <c r="P14" s="171">
        <f t="shared" si="4"/>
        <v>0.47413552426913413</v>
      </c>
      <c r="Q14" s="171">
        <f>Q13/Q11</f>
        <v>0.46607156388766802</v>
      </c>
      <c r="R14" s="138">
        <v>0.44750000000000001</v>
      </c>
      <c r="S14" s="171">
        <f t="shared" si="4"/>
        <v>0.45856449942053712</v>
      </c>
      <c r="T14" s="138">
        <v>0.47</v>
      </c>
      <c r="U14" s="138">
        <v>0.46500000000000002</v>
      </c>
      <c r="V14" s="138">
        <v>0.46</v>
      </c>
      <c r="W14" s="171">
        <f>W13/W11</f>
        <v>0.469612349783391</v>
      </c>
      <c r="Y14" s="109"/>
      <c r="Z14" s="109"/>
      <c r="AA14" s="109"/>
      <c r="AB14" s="109"/>
      <c r="AC14" s="109"/>
      <c r="AD14" s="109"/>
      <c r="AE14" s="109"/>
      <c r="AF14" s="109"/>
      <c r="AG14" s="109"/>
      <c r="AH14" s="109"/>
      <c r="AI14" s="109"/>
      <c r="AJ14" s="109"/>
    </row>
    <row r="15" spans="3:40" x14ac:dyDescent="0.55000000000000004">
      <c r="C15" s="66"/>
      <c r="D15" s="171"/>
      <c r="E15" s="171"/>
      <c r="F15" s="171"/>
      <c r="G15" s="171"/>
      <c r="H15" s="171"/>
      <c r="I15" s="171"/>
      <c r="J15" s="171"/>
      <c r="K15" s="171"/>
      <c r="L15" s="171"/>
      <c r="M15" s="171"/>
      <c r="N15" s="171"/>
      <c r="O15" s="171"/>
      <c r="P15" s="171"/>
      <c r="Q15" s="172"/>
      <c r="R15" s="172"/>
      <c r="S15" s="171"/>
      <c r="T15" s="171"/>
      <c r="U15" s="171"/>
      <c r="V15" s="171"/>
      <c r="W15" s="171"/>
      <c r="Y15" s="109"/>
      <c r="Z15" s="109"/>
      <c r="AA15" s="109"/>
      <c r="AB15" s="109"/>
      <c r="AC15" s="109"/>
      <c r="AD15" s="109"/>
      <c r="AE15" s="109"/>
      <c r="AF15" s="109"/>
      <c r="AG15" s="109"/>
      <c r="AH15" s="109"/>
      <c r="AI15" s="109"/>
      <c r="AJ15" s="109"/>
    </row>
    <row r="16" spans="3:40" x14ac:dyDescent="0.55000000000000004">
      <c r="C16" s="67" t="s">
        <v>754</v>
      </c>
      <c r="D16" s="69"/>
      <c r="E16" s="69"/>
      <c r="F16" s="69"/>
      <c r="G16" s="69"/>
      <c r="H16" s="69"/>
      <c r="I16" s="69"/>
      <c r="J16" s="69"/>
      <c r="K16" s="69"/>
      <c r="L16" s="69"/>
      <c r="M16" s="69"/>
      <c r="N16" s="69"/>
      <c r="O16" s="69"/>
      <c r="P16" s="69"/>
      <c r="Q16" s="234"/>
      <c r="R16" s="69"/>
      <c r="S16" s="69"/>
      <c r="T16" s="69"/>
      <c r="U16" s="69"/>
      <c r="V16" s="69"/>
      <c r="W16" s="69"/>
      <c r="AG16" s="109"/>
    </row>
    <row r="17" spans="3:40" x14ac:dyDescent="0.55000000000000004">
      <c r="C17" s="66" t="s">
        <v>753</v>
      </c>
      <c r="D17" s="69">
        <f>D13-D18</f>
        <v>429.01600000000002</v>
      </c>
      <c r="E17" s="69">
        <f>E13-E18</f>
        <v>537.13699999999994</v>
      </c>
      <c r="F17" s="69"/>
      <c r="G17" s="69">
        <f t="shared" ref="G17:O17" si="5">G13-G18</f>
        <v>595.29200000000003</v>
      </c>
      <c r="H17" s="69">
        <f t="shared" si="5"/>
        <v>557.08050000000003</v>
      </c>
      <c r="I17" s="69">
        <f t="shared" si="5"/>
        <v>613.61500000000001</v>
      </c>
      <c r="J17" s="69">
        <f t="shared" si="5"/>
        <v>638.10299999999995</v>
      </c>
      <c r="K17" s="69">
        <f t="shared" si="5"/>
        <v>620.10299999999995</v>
      </c>
      <c r="L17" s="69">
        <f t="shared" si="5"/>
        <v>616.56100000000004</v>
      </c>
      <c r="M17" s="69">
        <f t="shared" si="5"/>
        <v>714.03300000000002</v>
      </c>
      <c r="N17" s="69">
        <f t="shared" si="5"/>
        <v>710.33749999999998</v>
      </c>
      <c r="O17" s="69">
        <f t="shared" si="5"/>
        <v>721.71699999999998</v>
      </c>
      <c r="P17" s="69">
        <f>P13-P18</f>
        <v>717.27200000000005</v>
      </c>
      <c r="Q17" s="69">
        <f>Q13-Q18</f>
        <v>801.58399999999995</v>
      </c>
      <c r="R17" s="69"/>
      <c r="S17" s="69"/>
      <c r="T17" s="69"/>
      <c r="U17" s="69"/>
      <c r="V17" s="69"/>
      <c r="W17" s="69"/>
      <c r="AB17" s="113">
        <f t="shared" ref="AB17:AH18" si="6">K17/G17-1</f>
        <v>4.1678705576422947E-2</v>
      </c>
      <c r="AC17" s="113">
        <f t="shared" si="6"/>
        <v>0.10677182202572166</v>
      </c>
      <c r="AD17" s="113">
        <f t="shared" si="6"/>
        <v>0.16364984558721685</v>
      </c>
      <c r="AE17" s="113">
        <f t="shared" si="6"/>
        <v>0.11320194388680194</v>
      </c>
      <c r="AF17" s="113">
        <f t="shared" si="6"/>
        <v>0.16386632543303303</v>
      </c>
      <c r="AG17" s="113">
        <f t="shared" si="6"/>
        <v>0.16334312420020081</v>
      </c>
      <c r="AH17" s="113">
        <f t="shared" si="6"/>
        <v>0.12261478110955637</v>
      </c>
    </row>
    <row r="18" spans="3:40" x14ac:dyDescent="0.55000000000000004">
      <c r="C18" s="66" t="s">
        <v>491</v>
      </c>
      <c r="D18" s="69">
        <v>39</v>
      </c>
      <c r="E18" s="69">
        <v>48</v>
      </c>
      <c r="F18" s="69"/>
      <c r="G18" s="69">
        <v>62</v>
      </c>
      <c r="H18" s="69">
        <v>58</v>
      </c>
      <c r="I18" s="69">
        <v>67</v>
      </c>
      <c r="J18" s="191">
        <v>70</v>
      </c>
      <c r="K18" s="69">
        <v>83</v>
      </c>
      <c r="L18" s="69">
        <v>75</v>
      </c>
      <c r="M18" s="69">
        <v>90</v>
      </c>
      <c r="N18" s="191">
        <v>95</v>
      </c>
      <c r="O18" s="69">
        <v>106</v>
      </c>
      <c r="P18" s="69">
        <v>103</v>
      </c>
      <c r="Q18" s="69">
        <v>121</v>
      </c>
      <c r="R18" s="69"/>
      <c r="S18" s="69"/>
      <c r="T18" s="69"/>
      <c r="U18" s="69"/>
      <c r="V18" s="69"/>
      <c r="W18" s="69"/>
      <c r="AE18" s="113">
        <f t="shared" si="6"/>
        <v>0.35714285714285721</v>
      </c>
      <c r="AF18" s="113">
        <f t="shared" si="6"/>
        <v>0.27710843373493965</v>
      </c>
      <c r="AG18" s="113">
        <f t="shared" si="6"/>
        <v>0.37333333333333329</v>
      </c>
      <c r="AH18" s="113">
        <f t="shared" si="6"/>
        <v>0.34444444444444455</v>
      </c>
    </row>
    <row r="19" spans="3:40" x14ac:dyDescent="0.55000000000000004">
      <c r="C19" s="66" t="s">
        <v>544</v>
      </c>
      <c r="D19" s="134">
        <f>D18/D13</f>
        <v>8.3330484427882809E-2</v>
      </c>
      <c r="E19" s="134">
        <f>E18/E13</f>
        <v>8.2032071121805675E-2</v>
      </c>
      <c r="F19" s="69"/>
      <c r="G19" s="134">
        <f>G18/G13</f>
        <v>9.4326418091198433E-2</v>
      </c>
      <c r="H19" s="134">
        <f>H18/H13</f>
        <v>9.4296600201111885E-2</v>
      </c>
      <c r="I19" s="134">
        <f t="shared" ref="I19:O19" si="7">I18/I13</f>
        <v>9.8440381125893497E-2</v>
      </c>
      <c r="J19" s="134">
        <f t="shared" si="7"/>
        <v>9.8855674951242978E-2</v>
      </c>
      <c r="K19" s="134">
        <f t="shared" si="7"/>
        <v>0.11804813803951911</v>
      </c>
      <c r="L19" s="134">
        <f t="shared" si="7"/>
        <v>0.1084503030101466</v>
      </c>
      <c r="M19" s="134">
        <f t="shared" si="7"/>
        <v>0.11193570413154684</v>
      </c>
      <c r="N19" s="134">
        <f t="shared" si="7"/>
        <v>0.11796296583730424</v>
      </c>
      <c r="O19" s="134">
        <f t="shared" si="7"/>
        <v>0.12806309402851457</v>
      </c>
      <c r="P19" s="134">
        <f>P18/P13</f>
        <v>0.12556810423859402</v>
      </c>
      <c r="Q19" s="134">
        <f>Q18/Q13</f>
        <v>0.13115336923250351</v>
      </c>
      <c r="R19" s="69"/>
      <c r="S19" s="69"/>
      <c r="T19" s="69"/>
      <c r="U19" s="69"/>
      <c r="V19" s="69"/>
      <c r="W19" s="69"/>
    </row>
    <row r="20" spans="3:40" x14ac:dyDescent="0.55000000000000004">
      <c r="C20" s="66" t="s">
        <v>755</v>
      </c>
      <c r="D20" s="69"/>
      <c r="E20" s="69"/>
      <c r="F20" s="69"/>
      <c r="G20" s="69"/>
      <c r="H20" s="69"/>
      <c r="I20" s="69"/>
      <c r="J20" s="69"/>
      <c r="K20" s="69"/>
      <c r="L20" s="134"/>
      <c r="M20" s="134"/>
      <c r="N20" s="134"/>
      <c r="O20" s="134">
        <f>(O18-K18)/(O13-K13)</f>
        <v>0.18456995201181242</v>
      </c>
      <c r="P20" s="134">
        <f>(P18-L18)/(P13-L13)</f>
        <v>0.21754162425899881</v>
      </c>
      <c r="Q20" s="134">
        <f>(Q18-M18)/(Q13-M13)</f>
        <v>0.26149083516798693</v>
      </c>
      <c r="R20" s="69"/>
      <c r="S20" s="69"/>
      <c r="T20" s="69"/>
      <c r="U20" s="69"/>
      <c r="V20" s="69"/>
      <c r="W20" s="69"/>
    </row>
    <row r="21" spans="3:40" x14ac:dyDescent="0.55000000000000004">
      <c r="C21" s="66" t="s">
        <v>756</v>
      </c>
      <c r="D21" s="69"/>
      <c r="E21" s="69"/>
      <c r="F21" s="69"/>
      <c r="G21" s="69"/>
      <c r="H21" s="69"/>
      <c r="I21" s="69"/>
      <c r="J21" s="69"/>
      <c r="K21" s="69"/>
      <c r="L21" s="134"/>
      <c r="M21" s="134"/>
      <c r="N21" s="134"/>
      <c r="O21" s="134"/>
      <c r="P21" s="134">
        <f>(P18-D18)/(P17-D17)</f>
        <v>0.22202486678507991</v>
      </c>
      <c r="Q21" s="134">
        <f>(Q18-E18)/(Q17-E17)</f>
        <v>0.27604775247970292</v>
      </c>
      <c r="R21" s="69"/>
      <c r="S21" s="69"/>
      <c r="T21" s="69"/>
      <c r="U21" s="69"/>
      <c r="V21" s="69"/>
      <c r="W21" s="69"/>
    </row>
    <row r="22" spans="3:40" x14ac:dyDescent="0.55000000000000004">
      <c r="C22" s="66"/>
      <c r="D22" s="69"/>
      <c r="E22" s="69"/>
      <c r="F22" s="69"/>
      <c r="G22" s="69"/>
      <c r="H22" s="69"/>
      <c r="I22" s="69"/>
      <c r="J22" s="69"/>
      <c r="K22" s="69"/>
      <c r="L22" s="69"/>
      <c r="M22" s="69"/>
      <c r="N22" s="69"/>
      <c r="O22" s="69"/>
      <c r="P22" s="69"/>
      <c r="Q22" s="234"/>
      <c r="R22" s="69"/>
      <c r="S22" s="69"/>
      <c r="T22" s="69"/>
      <c r="U22" s="69"/>
      <c r="V22" s="69"/>
      <c r="W22" s="69"/>
    </row>
    <row r="23" spans="3:40" x14ac:dyDescent="0.55000000000000004">
      <c r="C23" s="67" t="s">
        <v>163</v>
      </c>
      <c r="D23" s="120"/>
      <c r="E23" s="120"/>
      <c r="F23" s="120"/>
      <c r="G23" s="120"/>
      <c r="H23" s="120"/>
      <c r="I23" s="120"/>
      <c r="J23" s="120"/>
      <c r="K23" s="120"/>
      <c r="L23" s="120"/>
      <c r="M23" s="120"/>
      <c r="N23" s="120"/>
      <c r="O23" s="120"/>
      <c r="P23" s="120"/>
      <c r="Q23" s="120"/>
      <c r="R23" s="120"/>
      <c r="S23" s="120"/>
      <c r="T23" s="120"/>
      <c r="U23" s="120"/>
      <c r="V23" s="120"/>
      <c r="W23" s="120"/>
      <c r="Y23" s="120"/>
      <c r="Z23" s="120"/>
      <c r="AA23" s="120"/>
      <c r="AB23" s="120"/>
      <c r="AC23" s="120"/>
      <c r="AD23" s="120"/>
      <c r="AE23" s="120"/>
      <c r="AF23" s="120"/>
      <c r="AG23" s="120"/>
      <c r="AH23" s="120"/>
      <c r="AI23" s="120"/>
      <c r="AJ23" s="120"/>
    </row>
    <row r="24" spans="3:40" x14ac:dyDescent="0.55000000000000004">
      <c r="C24" s="66" t="s">
        <v>91</v>
      </c>
      <c r="D24" s="69">
        <f>'Segment feeder'!K17/1000</f>
        <v>91.959000000000003</v>
      </c>
      <c r="E24" s="69">
        <f>'Segment feeder'!L17/1000</f>
        <v>110.95</v>
      </c>
      <c r="F24" s="69">
        <f>'Segment feeder'!M17/1000</f>
        <v>103.19199999999999</v>
      </c>
      <c r="G24" s="69">
        <f>'Segment feeder'!N17/1000</f>
        <v>103.74299999999999</v>
      </c>
      <c r="H24" s="69">
        <f>'Segment feeder'!O17/1000</f>
        <v>109.241</v>
      </c>
      <c r="I24" s="69">
        <f>'Segment feeder'!P17/1000</f>
        <v>116.068</v>
      </c>
      <c r="J24" s="69">
        <f>'Segment feeder'!Q17/1000</f>
        <v>118.459</v>
      </c>
      <c r="K24" s="69">
        <f>'Segment feeder'!R17/1000</f>
        <v>122.40300000000001</v>
      </c>
      <c r="L24" s="69">
        <f>'Segment feeder'!S17/1000</f>
        <v>134.66300000000001</v>
      </c>
      <c r="M24" s="69">
        <f>'Segment feeder'!T17/1000</f>
        <v>133.74100000000001</v>
      </c>
      <c r="N24" s="69">
        <f>'Segment feeder'!U17/1000</f>
        <v>120.783</v>
      </c>
      <c r="O24" s="69">
        <f>'Segment feeder'!V17/1000</f>
        <v>108.99</v>
      </c>
      <c r="P24" s="69">
        <f>'Segment feeder'!W17/1000</f>
        <v>109.22</v>
      </c>
      <c r="Q24" s="69">
        <f>'Segment feeder'!X17/1000</f>
        <v>98.912000000000006</v>
      </c>
      <c r="R24" s="120"/>
      <c r="S24" s="120"/>
      <c r="T24" s="120"/>
      <c r="U24" s="120"/>
      <c r="V24" s="120"/>
      <c r="W24" s="120"/>
      <c r="Y24" s="120"/>
      <c r="Z24" s="120"/>
      <c r="AA24" s="120"/>
      <c r="AB24" s="120"/>
      <c r="AC24" s="120"/>
      <c r="AD24" s="120"/>
      <c r="AE24" s="120"/>
      <c r="AF24" s="120"/>
      <c r="AG24" s="120"/>
      <c r="AH24" s="120"/>
      <c r="AI24" s="120"/>
      <c r="AJ24" s="120"/>
    </row>
    <row r="25" spans="3:40" x14ac:dyDescent="0.55000000000000004">
      <c r="C25" s="66" t="s">
        <v>92</v>
      </c>
      <c r="D25" s="69">
        <f>'Segment feeder'!K18/1000</f>
        <v>436.589</v>
      </c>
      <c r="E25" s="69">
        <f>'Segment feeder'!L18/1000</f>
        <v>494.94499999999999</v>
      </c>
      <c r="F25" s="69">
        <f>'Segment feeder'!M18/1000</f>
        <v>474.77800000000002</v>
      </c>
      <c r="G25" s="69">
        <f>'Segment feeder'!N18/1000</f>
        <v>486.69499999999999</v>
      </c>
      <c r="H25" s="69">
        <f>'Segment feeder'!O18/1000</f>
        <v>687.19100000000003</v>
      </c>
      <c r="I25" s="69">
        <f>'Segment feeder'!P18/1000</f>
        <v>824.24249999999995</v>
      </c>
      <c r="J25" s="69">
        <f>'Segment feeder'!Q18/1000</f>
        <v>908.6395</v>
      </c>
      <c r="K25" s="69">
        <f>'Segment feeder'!R18/1000</f>
        <v>1032.702</v>
      </c>
      <c r="L25" s="69">
        <f>'Segment feeder'!S18/1000</f>
        <v>1085.749</v>
      </c>
      <c r="M25" s="69">
        <f>'Segment feeder'!T18/1000</f>
        <v>1148.5405000000001</v>
      </c>
      <c r="N25" s="69">
        <f>'Segment feeder'!U18/1000</f>
        <v>1169.5609999999999</v>
      </c>
      <c r="O25" s="69">
        <f>'Segment feeder'!V18/1000</f>
        <v>1281.357</v>
      </c>
      <c r="P25" s="69">
        <f>'Segment feeder'!W18/1000</f>
        <v>1332.56</v>
      </c>
      <c r="Q25" s="69">
        <f>'Segment feeder'!X18/1000</f>
        <v>1418.172</v>
      </c>
      <c r="R25" s="120"/>
      <c r="S25" s="120"/>
      <c r="T25" s="120"/>
      <c r="U25" s="120"/>
      <c r="V25" s="120"/>
      <c r="W25" s="120"/>
      <c r="Y25" s="120"/>
      <c r="Z25" s="120"/>
      <c r="AA25" s="120"/>
      <c r="AB25" s="120"/>
      <c r="AC25" s="120"/>
      <c r="AD25" s="120"/>
      <c r="AE25" s="120"/>
      <c r="AF25" s="120"/>
      <c r="AG25" s="120"/>
      <c r="AH25" s="120"/>
      <c r="AI25" s="120"/>
      <c r="AJ25" s="120"/>
    </row>
    <row r="26" spans="3:40" x14ac:dyDescent="0.55000000000000004">
      <c r="C26" s="66" t="s">
        <v>93</v>
      </c>
      <c r="D26" s="69">
        <f>'Segment feeder'!K19/1000</f>
        <v>0</v>
      </c>
      <c r="E26" s="69">
        <f>'Segment feeder'!L19/1000</f>
        <v>0</v>
      </c>
      <c r="F26" s="69">
        <f>'Segment feeder'!M19/1000</f>
        <v>0</v>
      </c>
      <c r="G26" s="69">
        <f>'Segment feeder'!N19/1000</f>
        <v>0</v>
      </c>
      <c r="H26" s="69">
        <f>'Segment feeder'!O19/1000</f>
        <v>0</v>
      </c>
      <c r="I26" s="69">
        <f>'Segment feeder'!P19/1000</f>
        <v>0</v>
      </c>
      <c r="J26" s="69">
        <f>'Segment feeder'!Q19/1000</f>
        <v>0</v>
      </c>
      <c r="K26" s="69">
        <f>'Segment feeder'!R19/1000</f>
        <v>0</v>
      </c>
      <c r="L26" s="69">
        <f>'Segment feeder'!S19/1000</f>
        <v>0</v>
      </c>
      <c r="M26" s="69">
        <f>'Segment feeder'!T19/1000</f>
        <v>0</v>
      </c>
      <c r="N26" s="69">
        <f>'Segment feeder'!U19/1000</f>
        <v>0</v>
      </c>
      <c r="O26" s="69">
        <f>'Segment feeder'!V19/1000</f>
        <v>0</v>
      </c>
      <c r="P26" s="69">
        <f>'Segment feeder'!W19/1000</f>
        <v>0</v>
      </c>
      <c r="Q26" s="69">
        <f>'Segment feeder'!X19/1000</f>
        <v>0</v>
      </c>
      <c r="R26" s="120"/>
      <c r="S26" s="120"/>
      <c r="T26" s="120"/>
      <c r="U26" s="120"/>
      <c r="V26" s="120"/>
      <c r="W26" s="120"/>
      <c r="Y26" s="120"/>
      <c r="Z26" s="120"/>
      <c r="AA26" s="120"/>
      <c r="AB26" s="120"/>
      <c r="AC26" s="120"/>
      <c r="AD26" s="120"/>
      <c r="AE26" s="120"/>
      <c r="AF26" s="120"/>
      <c r="AG26" s="120"/>
      <c r="AH26" s="120"/>
      <c r="AI26" s="120"/>
      <c r="AJ26" s="120"/>
    </row>
    <row r="27" spans="3:40" x14ac:dyDescent="0.55000000000000004">
      <c r="C27" s="66" t="s">
        <v>94</v>
      </c>
      <c r="D27" s="69">
        <f>'Segment feeder'!K20/1000</f>
        <v>3511.0680000000002</v>
      </c>
      <c r="E27" s="69">
        <f>'Segment feeder'!L20/1000</f>
        <v>2724.2959999999998</v>
      </c>
      <c r="F27" s="69">
        <f>'Segment feeder'!M20/1000</f>
        <v>1815.662</v>
      </c>
      <c r="G27" s="69">
        <f>'Segment feeder'!N20/1000</f>
        <v>1961.6210000000001</v>
      </c>
      <c r="H27" s="69">
        <f>'Segment feeder'!O20/1000</f>
        <v>1730.7929999999999</v>
      </c>
      <c r="I27" s="69">
        <f>'Segment feeder'!P20/1000</f>
        <v>1785.885</v>
      </c>
      <c r="J27" s="69">
        <f>'Segment feeder'!Q20/1000</f>
        <v>1762.752</v>
      </c>
      <c r="K27" s="69">
        <f>'Segment feeder'!R20/1000</f>
        <v>1833.4259999999999</v>
      </c>
      <c r="L27" s="69">
        <f>'Segment feeder'!S20/1000</f>
        <v>2163.7510000000002</v>
      </c>
      <c r="M27" s="69">
        <f>'Segment feeder'!T20/1000</f>
        <v>2390.884</v>
      </c>
      <c r="N27" s="69">
        <f>'Segment feeder'!U20/1000</f>
        <v>2423.5839999999998</v>
      </c>
      <c r="O27" s="69">
        <f>'Segment feeder'!V20/1000</f>
        <v>2520.0830000000001</v>
      </c>
      <c r="P27" s="69">
        <f>'Segment feeder'!W20/1000</f>
        <v>2731.1239999999998</v>
      </c>
      <c r="Q27" s="69">
        <f>'Segment feeder'!X20/1000</f>
        <v>2611.7429999999999</v>
      </c>
      <c r="R27" s="120"/>
      <c r="S27" s="120"/>
      <c r="T27" s="120"/>
      <c r="U27" s="120"/>
      <c r="V27" s="120"/>
      <c r="W27" s="120"/>
      <c r="Y27" s="120"/>
      <c r="Z27" s="120"/>
      <c r="AA27" s="120"/>
      <c r="AB27" s="120"/>
      <c r="AC27" s="120"/>
      <c r="AD27" s="120"/>
      <c r="AE27" s="120"/>
      <c r="AF27" s="120"/>
      <c r="AG27" s="120"/>
      <c r="AH27" s="120"/>
      <c r="AI27" s="120"/>
      <c r="AJ27" s="120"/>
    </row>
    <row r="28" spans="3:40" x14ac:dyDescent="0.55000000000000004">
      <c r="C28" s="67" t="s">
        <v>90</v>
      </c>
      <c r="D28" s="86">
        <f>'Segment feeder'!K21/1000</f>
        <v>4039.616</v>
      </c>
      <c r="E28" s="86">
        <f>'Segment feeder'!L21/1000</f>
        <v>3330.1909999999998</v>
      </c>
      <c r="F28" s="86">
        <f>'Segment feeder'!M21/1000</f>
        <v>2393.6320000000001</v>
      </c>
      <c r="G28" s="86">
        <f>'Segment feeder'!N21/1000</f>
        <v>2552.06</v>
      </c>
      <c r="H28" s="86">
        <f>'Segment feeder'!O21/1000</f>
        <v>2527.2249999999999</v>
      </c>
      <c r="I28" s="86">
        <f>'Segment feeder'!P21/1000</f>
        <v>2726.1954999999998</v>
      </c>
      <c r="J28" s="86">
        <f>'Segment feeder'!Q21/1000</f>
        <v>2789.8505</v>
      </c>
      <c r="K28" s="86">
        <f>'Segment feeder'!R21/1000</f>
        <v>2988.5309999999999</v>
      </c>
      <c r="L28" s="86">
        <f>'Segment feeder'!S21/1000</f>
        <v>3384.163</v>
      </c>
      <c r="M28" s="86">
        <f>'Segment feeder'!T21/1000</f>
        <v>3673.1655000000001</v>
      </c>
      <c r="N28" s="86">
        <f>'Segment feeder'!U21/1000</f>
        <v>3713.9279999999999</v>
      </c>
      <c r="O28" s="86">
        <f>'Segment feeder'!V21/1000</f>
        <v>3910.43</v>
      </c>
      <c r="P28" s="86">
        <f>'Segment feeder'!W21/1000</f>
        <v>4172.9040000000005</v>
      </c>
      <c r="Q28" s="86">
        <f>'Segment feeder'!X21/1000</f>
        <v>4128.8270000000002</v>
      </c>
      <c r="R28" s="86">
        <f t="shared" ref="R28:W28" si="8">R252</f>
        <v>4091.681232592593</v>
      </c>
      <c r="S28" s="86">
        <f t="shared" si="8"/>
        <v>4319.8641308804617</v>
      </c>
      <c r="T28" s="86">
        <f t="shared" si="8"/>
        <v>4405.0643150565265</v>
      </c>
      <c r="U28" s="86">
        <f t="shared" si="8"/>
        <v>4498.1860318565268</v>
      </c>
      <c r="V28" s="86">
        <f t="shared" si="8"/>
        <v>4462.3349010565271</v>
      </c>
      <c r="W28" s="86">
        <f t="shared" si="8"/>
        <v>4907.8554865034766</v>
      </c>
      <c r="Y28" s="109">
        <f t="shared" ref="Y28:AN28" si="9">H28/D28-1</f>
        <v>-0.37438979348532142</v>
      </c>
      <c r="Z28" s="109">
        <f t="shared" si="9"/>
        <v>-0.18136962714751192</v>
      </c>
      <c r="AA28" s="109">
        <f t="shared" si="9"/>
        <v>0.1655302485929333</v>
      </c>
      <c r="AB28" s="109">
        <f t="shared" si="9"/>
        <v>0.17102693510340661</v>
      </c>
      <c r="AC28" s="109">
        <f t="shared" si="9"/>
        <v>0.33908259058849133</v>
      </c>
      <c r="AD28" s="109">
        <f t="shared" si="9"/>
        <v>0.34735953456015922</v>
      </c>
      <c r="AE28" s="109">
        <f t="shared" si="9"/>
        <v>0.3312283220910941</v>
      </c>
      <c r="AF28" s="109">
        <f t="shared" si="9"/>
        <v>0.30847898181414202</v>
      </c>
      <c r="AG28" s="109">
        <f t="shared" si="9"/>
        <v>0.23306826532882741</v>
      </c>
      <c r="AH28" s="109">
        <f t="shared" si="9"/>
        <v>0.12405144826716907</v>
      </c>
      <c r="AI28" s="109">
        <f t="shared" si="9"/>
        <v>0.10171258909504788</v>
      </c>
      <c r="AJ28" s="109">
        <f t="shared" si="9"/>
        <v>0.10470309681555778</v>
      </c>
      <c r="AK28" s="109">
        <f t="shared" si="9"/>
        <v>5.5635191956614927E-2</v>
      </c>
      <c r="AL28" s="109">
        <f t="shared" si="9"/>
        <v>8.9458587598009398E-2</v>
      </c>
      <c r="AM28" s="109">
        <f t="shared" si="9"/>
        <v>9.0587132133232773E-2</v>
      </c>
      <c r="AN28" s="109">
        <f t="shared" si="9"/>
        <v>0.1361133910253729</v>
      </c>
    </row>
    <row r="29" spans="3:40" x14ac:dyDescent="0.55000000000000004">
      <c r="C29" s="66" t="s">
        <v>96</v>
      </c>
      <c r="D29" s="69">
        <f>'Segment feeder'!K22/1000</f>
        <v>3544.1309999999999</v>
      </c>
      <c r="E29" s="69">
        <f>'Segment feeder'!L22/1000</f>
        <v>2784.1379999999999</v>
      </c>
      <c r="F29" s="69">
        <f>'Segment feeder'!M22/1000</f>
        <v>1881.9159999999999</v>
      </c>
      <c r="G29" s="69">
        <f>'Segment feeder'!N22/1000</f>
        <v>2034.4670000000001</v>
      </c>
      <c r="H29" s="69">
        <f>'Segment feeder'!O22/1000</f>
        <v>1857.4255000000001</v>
      </c>
      <c r="I29" s="69">
        <f>'Segment feeder'!P22/1000</f>
        <v>1946.4784999999999</v>
      </c>
      <c r="J29" s="69">
        <f>'Segment feeder'!Q22/1000</f>
        <v>1940.5155</v>
      </c>
      <c r="K29" s="69">
        <f>'Segment feeder'!R22/1000</f>
        <v>2042.3409999999999</v>
      </c>
      <c r="L29" s="69">
        <f>'Segment feeder'!S22/1000</f>
        <v>2374.2089999999998</v>
      </c>
      <c r="M29" s="69">
        <f>'Segment feeder'!T22/1000</f>
        <v>2620.8805000000002</v>
      </c>
      <c r="N29" s="69">
        <f>'Segment feeder'!U22/1000</f>
        <v>2636.4385000000002</v>
      </c>
      <c r="O29" s="69">
        <f>'Segment feeder'!V22/1000</f>
        <v>2726.6959999999999</v>
      </c>
      <c r="P29" s="69">
        <f>'Segment feeder'!W22/1000</f>
        <v>2914.377</v>
      </c>
      <c r="Q29" s="69">
        <f>'Segment feeder'!X22/1000</f>
        <v>2829.8829999999998</v>
      </c>
      <c r="R29" s="69">
        <f t="shared" ref="R29:W29" si="10">R28-R30</f>
        <v>2790.0041824</v>
      </c>
      <c r="S29" s="69">
        <f t="shared" si="10"/>
        <v>2950.8265097530548</v>
      </c>
      <c r="T29" s="69">
        <f t="shared" si="10"/>
        <v>2960.8179195000002</v>
      </c>
      <c r="U29" s="69">
        <f t="shared" si="10"/>
        <v>2978.9947713560005</v>
      </c>
      <c r="V29" s="69">
        <f t="shared" si="10"/>
        <v>2974.5280791200007</v>
      </c>
      <c r="W29" s="69">
        <f t="shared" si="10"/>
        <v>3304.2080136530562</v>
      </c>
      <c r="Y29" s="120"/>
      <c r="Z29" s="120"/>
      <c r="AA29" s="120"/>
      <c r="AB29" s="120"/>
      <c r="AC29" s="120"/>
      <c r="AD29" s="120"/>
      <c r="AE29" s="120"/>
      <c r="AF29" s="120"/>
      <c r="AG29" s="120"/>
      <c r="AH29" s="120"/>
      <c r="AI29" s="120"/>
      <c r="AJ29" s="120"/>
      <c r="AK29" s="120"/>
      <c r="AL29" s="120"/>
      <c r="AM29" s="120"/>
      <c r="AN29" s="120"/>
    </row>
    <row r="30" spans="3:40" x14ac:dyDescent="0.55000000000000004">
      <c r="C30" s="67" t="s">
        <v>152</v>
      </c>
      <c r="D30" s="86">
        <f>'Segment feeder'!K23/1000</f>
        <v>495.48500000000001</v>
      </c>
      <c r="E30" s="86">
        <f>'Segment feeder'!L23/1000</f>
        <v>546.053</v>
      </c>
      <c r="F30" s="86">
        <f>'Segment feeder'!M23/1000</f>
        <v>511.71600000000001</v>
      </c>
      <c r="G30" s="86">
        <f>'Segment feeder'!N23/1000</f>
        <v>517.59299999999996</v>
      </c>
      <c r="H30" s="86">
        <f>'Segment feeder'!O23/1000</f>
        <v>669.79949999999997</v>
      </c>
      <c r="I30" s="86">
        <f>'Segment feeder'!P23/1000</f>
        <v>779.71699999999998</v>
      </c>
      <c r="J30" s="86">
        <f>'Segment feeder'!Q23/1000</f>
        <v>849.33500000000004</v>
      </c>
      <c r="K30" s="86">
        <f>'Segment feeder'!R23/1000</f>
        <v>946.19</v>
      </c>
      <c r="L30" s="86">
        <f>'Segment feeder'!S23/1000</f>
        <v>1009.954</v>
      </c>
      <c r="M30" s="86">
        <f>'Segment feeder'!T23/1000</f>
        <v>1052.2850000000001</v>
      </c>
      <c r="N30" s="86">
        <f>'Segment feeder'!U23/1000</f>
        <v>1077.4894999999999</v>
      </c>
      <c r="O30" s="86">
        <f>'Segment feeder'!V23/1000</f>
        <v>1183.7339999999999</v>
      </c>
      <c r="P30" s="86">
        <f>'Segment feeder'!W23/1000</f>
        <v>1258.527</v>
      </c>
      <c r="Q30" s="86">
        <f>'Segment feeder'!X23/1000</f>
        <v>1298.944</v>
      </c>
      <c r="R30" s="86">
        <f>R255</f>
        <v>1301.6770501925928</v>
      </c>
      <c r="S30" s="86">
        <f>Master!I22-P30-Q30-R30</f>
        <v>1369.0376211274067</v>
      </c>
      <c r="T30" s="86">
        <f>T255</f>
        <v>1444.2463955565263</v>
      </c>
      <c r="U30" s="86">
        <f>U255</f>
        <v>1519.1912605005266</v>
      </c>
      <c r="V30" s="86">
        <f>V255</f>
        <v>1487.8068219365264</v>
      </c>
      <c r="W30" s="86">
        <f>Master!J22-T30-U30-V30</f>
        <v>1603.6474728504204</v>
      </c>
      <c r="Y30" s="109">
        <f t="shared" ref="Y30:AN30" si="11">H30/D30-1</f>
        <v>0.3518058064320817</v>
      </c>
      <c r="Z30" s="109">
        <f t="shared" si="11"/>
        <v>0.42791450646732088</v>
      </c>
      <c r="AA30" s="109">
        <f t="shared" si="11"/>
        <v>0.65977808002876603</v>
      </c>
      <c r="AB30" s="109">
        <f t="shared" si="11"/>
        <v>0.82805795287030559</v>
      </c>
      <c r="AC30" s="109">
        <f t="shared" si="11"/>
        <v>0.50784525817054216</v>
      </c>
      <c r="AD30" s="109">
        <f t="shared" si="11"/>
        <v>0.34957298609623755</v>
      </c>
      <c r="AE30" s="109">
        <f t="shared" si="11"/>
        <v>0.26862722011926965</v>
      </c>
      <c r="AF30" s="109">
        <f t="shared" si="11"/>
        <v>0.25105317113898895</v>
      </c>
      <c r="AG30" s="109">
        <f t="shared" si="11"/>
        <v>0.24612309075462857</v>
      </c>
      <c r="AH30" s="109">
        <f t="shared" si="11"/>
        <v>0.23440322726257601</v>
      </c>
      <c r="AI30" s="109">
        <f t="shared" si="11"/>
        <v>0.20806471913888069</v>
      </c>
      <c r="AJ30" s="109">
        <f t="shared" si="11"/>
        <v>0.15654160573862619</v>
      </c>
      <c r="AK30" s="109">
        <f t="shared" si="11"/>
        <v>0.14756886070503561</v>
      </c>
      <c r="AL30" s="109">
        <f t="shared" si="11"/>
        <v>0.16955870345490376</v>
      </c>
      <c r="AM30" s="109">
        <f t="shared" si="11"/>
        <v>0.14299228193075564</v>
      </c>
      <c r="AN30" s="109">
        <f t="shared" si="11"/>
        <v>0.17136844751557057</v>
      </c>
    </row>
    <row r="31" spans="3:40" x14ac:dyDescent="0.55000000000000004">
      <c r="C31" s="66" t="s">
        <v>171</v>
      </c>
      <c r="D31" s="171">
        <f>D30/D28</f>
        <v>0.12265646041603954</v>
      </c>
      <c r="E31" s="171">
        <f t="shared" ref="E31:W31" si="12">E30/E28</f>
        <v>0.16397047496675116</v>
      </c>
      <c r="F31" s="171">
        <f t="shared" si="12"/>
        <v>0.21378223553161055</v>
      </c>
      <c r="G31" s="171">
        <f t="shared" si="12"/>
        <v>0.20281380531805676</v>
      </c>
      <c r="H31" s="171">
        <f t="shared" si="12"/>
        <v>0.26503358426732876</v>
      </c>
      <c r="I31" s="171">
        <f t="shared" si="12"/>
        <v>0.28600920220138287</v>
      </c>
      <c r="J31" s="171">
        <f t="shared" si="12"/>
        <v>0.3044374600000968</v>
      </c>
      <c r="K31" s="171">
        <f t="shared" si="12"/>
        <v>0.31660705543961232</v>
      </c>
      <c r="L31" s="171">
        <f t="shared" si="12"/>
        <v>0.29843538860273572</v>
      </c>
      <c r="M31" s="171">
        <f t="shared" si="12"/>
        <v>0.28647906009135721</v>
      </c>
      <c r="N31" s="171">
        <f t="shared" si="12"/>
        <v>0.29012126783287129</v>
      </c>
      <c r="O31" s="171">
        <f t="shared" si="12"/>
        <v>0.30271197796661747</v>
      </c>
      <c r="P31" s="171">
        <f t="shared" si="12"/>
        <v>0.30159500434229974</v>
      </c>
      <c r="Q31" s="171">
        <f>Q30/Q28</f>
        <v>0.31460363924184759</v>
      </c>
      <c r="R31" s="171">
        <f t="shared" si="12"/>
        <v>0.31812767813484266</v>
      </c>
      <c r="S31" s="171">
        <f t="shared" si="12"/>
        <v>0.31691682415214611</v>
      </c>
      <c r="T31" s="171">
        <f t="shared" si="12"/>
        <v>0.32786045611640369</v>
      </c>
      <c r="U31" s="171">
        <f t="shared" si="12"/>
        <v>0.33773419990669307</v>
      </c>
      <c r="V31" s="171">
        <f t="shared" si="12"/>
        <v>0.33341442427018758</v>
      </c>
      <c r="W31" s="171">
        <f t="shared" si="12"/>
        <v>0.32675115990281806</v>
      </c>
      <c r="Y31" s="109"/>
      <c r="Z31" s="109"/>
      <c r="AA31" s="109"/>
      <c r="AB31" s="109"/>
      <c r="AC31" s="109"/>
      <c r="AD31" s="109"/>
      <c r="AE31" s="109"/>
      <c r="AF31" s="109"/>
      <c r="AG31" s="109"/>
      <c r="AH31" s="109"/>
      <c r="AI31" s="109"/>
      <c r="AJ31" s="109"/>
    </row>
    <row r="32" spans="3:40" x14ac:dyDescent="0.55000000000000004">
      <c r="C32" s="66"/>
      <c r="D32" s="120"/>
      <c r="E32" s="120"/>
      <c r="F32" s="120"/>
      <c r="G32" s="120"/>
      <c r="H32" s="120"/>
      <c r="I32" s="120"/>
      <c r="J32" s="120"/>
      <c r="K32" s="120"/>
      <c r="L32" s="120"/>
      <c r="M32" s="120"/>
      <c r="N32" s="120"/>
      <c r="O32" s="120"/>
      <c r="P32" s="120"/>
      <c r="Q32" s="120"/>
      <c r="R32" s="120"/>
      <c r="S32" s="120"/>
      <c r="T32" s="120"/>
      <c r="U32" s="120"/>
      <c r="V32" s="120"/>
      <c r="W32" s="120"/>
      <c r="Y32" s="120"/>
      <c r="Z32" s="120"/>
      <c r="AA32" s="120"/>
      <c r="AB32" s="120"/>
      <c r="AC32" s="120"/>
      <c r="AD32" s="120"/>
      <c r="AE32" s="120"/>
      <c r="AF32" s="120"/>
      <c r="AG32" s="120"/>
      <c r="AH32" s="120"/>
      <c r="AI32" s="120"/>
      <c r="AJ32" s="120"/>
    </row>
    <row r="33" spans="3:36" x14ac:dyDescent="0.55000000000000004">
      <c r="C33" s="67" t="s">
        <v>164</v>
      </c>
      <c r="D33" s="120"/>
      <c r="E33" s="120"/>
      <c r="F33" s="120"/>
      <c r="G33" s="120"/>
      <c r="H33" s="120"/>
      <c r="I33" s="120"/>
      <c r="J33" s="120"/>
      <c r="K33" s="120"/>
      <c r="L33" s="120"/>
      <c r="M33" s="120"/>
      <c r="N33" s="120"/>
      <c r="O33" s="120"/>
      <c r="P33" s="120"/>
      <c r="Q33" s="120"/>
      <c r="R33" s="120"/>
      <c r="S33" s="120"/>
      <c r="T33" s="120"/>
      <c r="U33" s="120"/>
      <c r="V33" s="120"/>
      <c r="W33" s="120"/>
      <c r="Y33" s="120"/>
      <c r="Z33" s="120"/>
      <c r="AA33" s="120"/>
      <c r="AB33" s="120"/>
      <c r="AC33" s="120"/>
      <c r="AD33" s="120"/>
      <c r="AE33" s="120"/>
      <c r="AF33" s="120"/>
      <c r="AG33" s="120"/>
      <c r="AH33" s="120"/>
      <c r="AI33" s="120"/>
      <c r="AJ33" s="120"/>
    </row>
    <row r="34" spans="3:36" x14ac:dyDescent="0.55000000000000004">
      <c r="C34" s="66" t="s">
        <v>91</v>
      </c>
      <c r="D34" s="69">
        <f>'Segment feeder'!K26/1000</f>
        <v>0</v>
      </c>
      <c r="E34" s="69">
        <f>'Segment feeder'!L26/1000</f>
        <v>0</v>
      </c>
      <c r="F34" s="69">
        <f>'Segment feeder'!M26/1000</f>
        <v>0</v>
      </c>
      <c r="G34" s="69">
        <f>'Segment feeder'!N26/1000</f>
        <v>0</v>
      </c>
      <c r="H34" s="69">
        <f>'Segment feeder'!O26/1000</f>
        <v>0</v>
      </c>
      <c r="I34" s="69">
        <f>'Segment feeder'!P26/1000</f>
        <v>0</v>
      </c>
      <c r="J34" s="69">
        <f>'Segment feeder'!Q26/1000</f>
        <v>0</v>
      </c>
      <c r="K34" s="69">
        <f>'Segment feeder'!R26/1000</f>
        <v>0</v>
      </c>
      <c r="L34" s="69">
        <f>'Segment feeder'!S26/1000</f>
        <v>0</v>
      </c>
      <c r="M34" s="69">
        <f>'Segment feeder'!T26/1000</f>
        <v>0</v>
      </c>
      <c r="N34" s="69">
        <f>'Segment feeder'!U26/1000</f>
        <v>0</v>
      </c>
      <c r="O34" s="69">
        <f>'Segment feeder'!V26/1000</f>
        <v>0</v>
      </c>
      <c r="P34" s="69">
        <f>'Segment feeder'!W26/1000</f>
        <v>0</v>
      </c>
      <c r="Q34" s="69">
        <f>'Segment feeder'!X26/1000</f>
        <v>0</v>
      </c>
      <c r="R34" s="120"/>
      <c r="S34" s="120"/>
      <c r="T34" s="120"/>
      <c r="U34" s="120"/>
      <c r="V34" s="120"/>
      <c r="W34" s="120"/>
      <c r="Y34" s="120"/>
      <c r="Z34" s="120"/>
      <c r="AA34" s="120"/>
      <c r="AB34" s="120"/>
      <c r="AC34" s="120"/>
      <c r="AD34" s="120"/>
      <c r="AE34" s="120"/>
      <c r="AF34" s="120"/>
      <c r="AG34" s="120"/>
      <c r="AH34" s="120"/>
      <c r="AI34" s="120"/>
      <c r="AJ34" s="120"/>
    </row>
    <row r="35" spans="3:36" x14ac:dyDescent="0.55000000000000004">
      <c r="C35" s="66" t="s">
        <v>92</v>
      </c>
      <c r="D35" s="69">
        <f>'Segment feeder'!K27/1000</f>
        <v>0</v>
      </c>
      <c r="E35" s="69">
        <f>'Segment feeder'!L27/1000</f>
        <v>38.993000000000002</v>
      </c>
      <c r="F35" s="69">
        <f>'Segment feeder'!M27/1000</f>
        <v>57.65</v>
      </c>
      <c r="G35" s="69">
        <f>'Segment feeder'!N27/1000</f>
        <v>55.713000000000001</v>
      </c>
      <c r="H35" s="69">
        <f>'Segment feeder'!O27/1000</f>
        <v>54.597999999999999</v>
      </c>
      <c r="I35" s="69">
        <f>'Segment feeder'!P27/1000</f>
        <v>56.841000000000001</v>
      </c>
      <c r="J35" s="69">
        <f>'Segment feeder'!Q27/1000</f>
        <v>56.134999999999998</v>
      </c>
      <c r="K35" s="69">
        <f>'Segment feeder'!R27/1000</f>
        <v>38.073</v>
      </c>
      <c r="L35" s="69">
        <f>'Segment feeder'!S27/1000</f>
        <v>50.591999999999999</v>
      </c>
      <c r="M35" s="69">
        <f>'Segment feeder'!T27/1000</f>
        <v>50.079000000000001</v>
      </c>
      <c r="N35" s="69">
        <f>'Segment feeder'!U27/1000</f>
        <v>50.183</v>
      </c>
      <c r="O35" s="69">
        <f>'Segment feeder'!V27/1000</f>
        <v>49.7</v>
      </c>
      <c r="P35" s="69">
        <f>'Segment feeder'!W27/1000</f>
        <v>53.515999999999998</v>
      </c>
      <c r="Q35" s="69">
        <f>'Segment feeder'!X27/1000</f>
        <v>47.103999999999999</v>
      </c>
      <c r="R35" s="120"/>
      <c r="S35" s="120"/>
      <c r="T35" s="120"/>
      <c r="U35" s="120"/>
      <c r="V35" s="120"/>
      <c r="W35" s="120"/>
      <c r="Y35" s="120"/>
      <c r="Z35" s="120"/>
      <c r="AA35" s="120"/>
      <c r="AB35" s="120"/>
      <c r="AC35" s="120"/>
      <c r="AD35" s="120"/>
      <c r="AE35" s="120"/>
      <c r="AF35" s="120"/>
      <c r="AG35" s="120"/>
      <c r="AH35" s="120"/>
      <c r="AI35" s="120"/>
      <c r="AJ35" s="120"/>
    </row>
    <row r="36" spans="3:36" x14ac:dyDescent="0.55000000000000004">
      <c r="C36" s="66" t="s">
        <v>93</v>
      </c>
      <c r="D36" s="69">
        <f>'Segment feeder'!K28/1000</f>
        <v>0</v>
      </c>
      <c r="E36" s="69">
        <f>'Segment feeder'!L28/1000</f>
        <v>0</v>
      </c>
      <c r="F36" s="69">
        <f>'Segment feeder'!M28/1000</f>
        <v>0</v>
      </c>
      <c r="G36" s="69">
        <f>'Segment feeder'!N28/1000</f>
        <v>0</v>
      </c>
      <c r="H36" s="69">
        <f>'Segment feeder'!O28/1000</f>
        <v>0</v>
      </c>
      <c r="I36" s="69">
        <f>'Segment feeder'!P28/1000</f>
        <v>0</v>
      </c>
      <c r="J36" s="69">
        <f>'Segment feeder'!Q28/1000</f>
        <v>0</v>
      </c>
      <c r="K36" s="69">
        <f>'Segment feeder'!R28/1000</f>
        <v>0</v>
      </c>
      <c r="L36" s="69">
        <f>'Segment feeder'!S28/1000</f>
        <v>0</v>
      </c>
      <c r="M36" s="69">
        <f>'Segment feeder'!T28/1000</f>
        <v>0</v>
      </c>
      <c r="N36" s="69">
        <f>'Segment feeder'!U28/1000</f>
        <v>0</v>
      </c>
      <c r="O36" s="69">
        <f>'Segment feeder'!V28/1000</f>
        <v>0</v>
      </c>
      <c r="P36" s="69">
        <f>'Segment feeder'!W28/1000</f>
        <v>0.67100000000000004</v>
      </c>
      <c r="Q36" s="69">
        <f>'Segment feeder'!X28/1000</f>
        <v>0.14199999999999999</v>
      </c>
      <c r="R36" s="120"/>
      <c r="S36" s="120"/>
      <c r="T36" s="120"/>
      <c r="U36" s="120"/>
      <c r="V36" s="120"/>
      <c r="W36" s="120"/>
      <c r="Y36" s="120"/>
      <c r="Z36" s="120"/>
      <c r="AA36" s="120"/>
      <c r="AB36" s="120"/>
      <c r="AC36" s="120"/>
      <c r="AD36" s="120"/>
      <c r="AE36" s="120"/>
      <c r="AF36" s="120"/>
      <c r="AG36" s="120"/>
      <c r="AH36" s="120"/>
      <c r="AI36" s="120"/>
      <c r="AJ36" s="120"/>
    </row>
    <row r="37" spans="3:36" x14ac:dyDescent="0.55000000000000004">
      <c r="C37" s="66" t="s">
        <v>94</v>
      </c>
      <c r="D37" s="69">
        <f>'Segment feeder'!K29/1000</f>
        <v>0</v>
      </c>
      <c r="E37" s="69">
        <f>'Segment feeder'!L29/1000</f>
        <v>0</v>
      </c>
      <c r="F37" s="69">
        <f>'Segment feeder'!M29/1000</f>
        <v>0</v>
      </c>
      <c r="G37" s="69">
        <f>'Segment feeder'!N29/1000</f>
        <v>0</v>
      </c>
      <c r="H37" s="69">
        <f>'Segment feeder'!O29/1000</f>
        <v>0</v>
      </c>
      <c r="I37" s="69">
        <f>'Segment feeder'!P29/1000</f>
        <v>0</v>
      </c>
      <c r="J37" s="69">
        <f>'Segment feeder'!Q29/1000</f>
        <v>0</v>
      </c>
      <c r="K37" s="69">
        <f>'Segment feeder'!R29/1000</f>
        <v>0</v>
      </c>
      <c r="L37" s="69">
        <f>'Segment feeder'!S29/1000</f>
        <v>0</v>
      </c>
      <c r="M37" s="69">
        <f>'Segment feeder'!T29/1000</f>
        <v>0</v>
      </c>
      <c r="N37" s="69">
        <f>'Segment feeder'!U29/1000</f>
        <v>0</v>
      </c>
      <c r="O37" s="69">
        <f>'Segment feeder'!V29/1000</f>
        <v>0</v>
      </c>
      <c r="P37" s="69">
        <f>'Segment feeder'!W29/1000</f>
        <v>0</v>
      </c>
      <c r="Q37" s="69">
        <f>'Segment feeder'!X29/1000</f>
        <v>0</v>
      </c>
      <c r="R37" s="120"/>
      <c r="S37" s="120"/>
      <c r="T37" s="120"/>
      <c r="U37" s="120"/>
      <c r="V37" s="120"/>
      <c r="W37" s="120"/>
      <c r="Y37" s="120"/>
      <c r="Z37" s="120"/>
      <c r="AA37" s="120"/>
      <c r="AB37" s="120"/>
      <c r="AC37" s="120"/>
      <c r="AD37" s="120"/>
      <c r="AE37" s="120"/>
      <c r="AF37" s="120"/>
      <c r="AG37" s="120"/>
      <c r="AH37" s="120"/>
      <c r="AI37" s="120"/>
      <c r="AJ37" s="120"/>
    </row>
    <row r="38" spans="3:36" x14ac:dyDescent="0.55000000000000004">
      <c r="C38" s="66" t="s">
        <v>90</v>
      </c>
      <c r="D38" s="86">
        <f>'Segment feeder'!K30/1000</f>
        <v>0</v>
      </c>
      <c r="E38" s="86">
        <f>'Segment feeder'!L30/1000</f>
        <v>38.993000000000002</v>
      </c>
      <c r="F38" s="86">
        <f>'Segment feeder'!M30/1000</f>
        <v>57.65</v>
      </c>
      <c r="G38" s="86">
        <f>'Segment feeder'!N30/1000</f>
        <v>55.713000000000001</v>
      </c>
      <c r="H38" s="86">
        <f>'Segment feeder'!O30/1000</f>
        <v>54.597999999999999</v>
      </c>
      <c r="I38" s="86">
        <f>'Segment feeder'!P30/1000</f>
        <v>56.841000000000001</v>
      </c>
      <c r="J38" s="86">
        <f>'Segment feeder'!Q30/1000</f>
        <v>56.134999999999998</v>
      </c>
      <c r="K38" s="86">
        <f>'Segment feeder'!R30/1000</f>
        <v>38.073</v>
      </c>
      <c r="L38" s="86">
        <f>'Segment feeder'!S30/1000</f>
        <v>50.591999999999999</v>
      </c>
      <c r="M38" s="86">
        <f>'Segment feeder'!T30/1000</f>
        <v>50.079000000000001</v>
      </c>
      <c r="N38" s="86">
        <f>'Segment feeder'!U30/1000</f>
        <v>50.183</v>
      </c>
      <c r="O38" s="86">
        <f>'Segment feeder'!V30/1000</f>
        <v>49.7</v>
      </c>
      <c r="P38" s="86">
        <f>'Segment feeder'!W30/1000</f>
        <v>54.186999999999998</v>
      </c>
      <c r="Q38" s="86">
        <f>'Segment feeder'!X30/1000</f>
        <v>47.246000000000002</v>
      </c>
      <c r="R38" s="192">
        <v>55</v>
      </c>
      <c r="S38" s="86">
        <f>Master!I29-P38-Q38-R38</f>
        <v>63.566999999999979</v>
      </c>
      <c r="T38" s="192">
        <v>57</v>
      </c>
      <c r="U38" s="192">
        <v>57</v>
      </c>
      <c r="V38" s="192">
        <v>57</v>
      </c>
      <c r="W38" s="86">
        <f>Master!J29-T38-U38-V38</f>
        <v>54.499999999999972</v>
      </c>
      <c r="Y38" s="120"/>
      <c r="Z38" s="120"/>
      <c r="AA38" s="120"/>
      <c r="AB38" s="120"/>
      <c r="AC38" s="120"/>
      <c r="AD38" s="120"/>
      <c r="AE38" s="120"/>
      <c r="AF38" s="120"/>
      <c r="AG38" s="120"/>
      <c r="AH38" s="120"/>
      <c r="AI38" s="120"/>
      <c r="AJ38" s="120"/>
    </row>
    <row r="39" spans="3:36" x14ac:dyDescent="0.55000000000000004">
      <c r="C39" s="66" t="s">
        <v>96</v>
      </c>
      <c r="D39" s="69">
        <f>'Segment feeder'!K31/1000</f>
        <v>0</v>
      </c>
      <c r="E39" s="69">
        <f>'Segment feeder'!L31/1000</f>
        <v>29.119</v>
      </c>
      <c r="F39" s="69">
        <f>'Segment feeder'!M31/1000</f>
        <v>42.377000000000002</v>
      </c>
      <c r="G39" s="69">
        <f>'Segment feeder'!N31/1000</f>
        <v>48.555</v>
      </c>
      <c r="H39" s="69">
        <f>'Segment feeder'!O31/1000</f>
        <v>44.518000000000001</v>
      </c>
      <c r="I39" s="69">
        <f>'Segment feeder'!P31/1000</f>
        <v>47.524999999999999</v>
      </c>
      <c r="J39" s="69">
        <f>'Segment feeder'!Q31/1000</f>
        <v>46.484000000000002</v>
      </c>
      <c r="K39" s="69">
        <f>'Segment feeder'!R31/1000</f>
        <v>27.172000000000001</v>
      </c>
      <c r="L39" s="69">
        <f>'Segment feeder'!S31/1000</f>
        <v>37.523000000000003</v>
      </c>
      <c r="M39" s="69">
        <f>'Segment feeder'!T31/1000</f>
        <v>40.295999999999999</v>
      </c>
      <c r="N39" s="69">
        <f>'Segment feeder'!U31/1000</f>
        <v>34.561</v>
      </c>
      <c r="O39" s="69">
        <f>'Segment feeder'!V31/1000</f>
        <v>35.399000000000001</v>
      </c>
      <c r="P39" s="69">
        <f>'Segment feeder'!W31/1000</f>
        <v>38.512999999999998</v>
      </c>
      <c r="Q39" s="69">
        <f>'Segment feeder'!X31/1000</f>
        <v>35.293999999999997</v>
      </c>
      <c r="R39" s="69">
        <f t="shared" ref="R39:W39" si="13">R38-R40</f>
        <v>38.5</v>
      </c>
      <c r="S39" s="69">
        <f t="shared" si="13"/>
        <v>41.692999999999977</v>
      </c>
      <c r="T39" s="69">
        <f t="shared" si="13"/>
        <v>39.900000000000006</v>
      </c>
      <c r="U39" s="69">
        <f t="shared" si="13"/>
        <v>39.900000000000006</v>
      </c>
      <c r="V39" s="69">
        <f t="shared" si="13"/>
        <v>39.900000000000006</v>
      </c>
      <c r="W39" s="69">
        <f t="shared" si="13"/>
        <v>38.149999999999963</v>
      </c>
      <c r="Y39" s="120"/>
      <c r="Z39" s="120"/>
      <c r="AA39" s="120"/>
      <c r="AB39" s="120"/>
      <c r="AC39" s="120"/>
      <c r="AD39" s="120"/>
      <c r="AE39" s="120"/>
      <c r="AF39" s="120"/>
      <c r="AG39" s="120"/>
      <c r="AH39" s="120"/>
      <c r="AI39" s="120"/>
      <c r="AJ39" s="120"/>
    </row>
    <row r="40" spans="3:36" x14ac:dyDescent="0.55000000000000004">
      <c r="C40" s="67" t="s">
        <v>152</v>
      </c>
      <c r="D40" s="86">
        <f>'Segment feeder'!K32/1000</f>
        <v>0</v>
      </c>
      <c r="E40" s="86">
        <f>'Segment feeder'!L32/1000</f>
        <v>9.8740000000000006</v>
      </c>
      <c r="F40" s="86">
        <f>'Segment feeder'!M32/1000</f>
        <v>15.273</v>
      </c>
      <c r="G40" s="86">
        <f>'Segment feeder'!N32/1000</f>
        <v>7.1580000000000004</v>
      </c>
      <c r="H40" s="86">
        <f>'Segment feeder'!O32/1000</f>
        <v>10.08</v>
      </c>
      <c r="I40" s="86">
        <f>'Segment feeder'!P32/1000</f>
        <v>9.3160000000000007</v>
      </c>
      <c r="J40" s="86">
        <f>'Segment feeder'!Q32/1000</f>
        <v>9.6509999999999998</v>
      </c>
      <c r="K40" s="86">
        <f>'Segment feeder'!R32/1000</f>
        <v>10.901</v>
      </c>
      <c r="L40" s="86">
        <f>'Segment feeder'!S32/1000</f>
        <v>13.069000000000001</v>
      </c>
      <c r="M40" s="86">
        <f>'Segment feeder'!T32/1000</f>
        <v>9.7829999999999995</v>
      </c>
      <c r="N40" s="86">
        <f>'Segment feeder'!U32/1000</f>
        <v>15.622</v>
      </c>
      <c r="O40" s="86">
        <f>'Segment feeder'!V32/1000</f>
        <v>14.301</v>
      </c>
      <c r="P40" s="86">
        <f>'Segment feeder'!W32/1000</f>
        <v>15.673999999999999</v>
      </c>
      <c r="Q40" s="86">
        <f>'Segment feeder'!X32/1000</f>
        <v>11.952</v>
      </c>
      <c r="R40" s="86">
        <f>R41*R38</f>
        <v>16.5</v>
      </c>
      <c r="S40" s="86">
        <f>Master!I31-P40-Q40-R40</f>
        <v>21.874000000000002</v>
      </c>
      <c r="T40" s="86">
        <f>T41*T38</f>
        <v>17.099999999999998</v>
      </c>
      <c r="U40" s="86">
        <f>U41*U38</f>
        <v>17.099999999999998</v>
      </c>
      <c r="V40" s="86">
        <f>V41*V38</f>
        <v>17.099999999999998</v>
      </c>
      <c r="W40" s="86">
        <f>Master!J31-T40-U40-V40</f>
        <v>16.350000000000005</v>
      </c>
      <c r="Y40" s="120"/>
      <c r="Z40" s="120"/>
      <c r="AA40" s="120"/>
      <c r="AB40" s="120"/>
      <c r="AC40" s="120"/>
      <c r="AD40" s="120"/>
      <c r="AE40" s="120"/>
      <c r="AF40" s="120"/>
      <c r="AG40" s="120"/>
      <c r="AH40" s="120"/>
      <c r="AI40" s="120"/>
      <c r="AJ40" s="120"/>
    </row>
    <row r="41" spans="3:36" x14ac:dyDescent="0.55000000000000004">
      <c r="C41" s="66" t="s">
        <v>171</v>
      </c>
      <c r="D41" s="86"/>
      <c r="E41" s="134">
        <f>E40/E38</f>
        <v>0.2532249378093504</v>
      </c>
      <c r="F41" s="134">
        <f t="shared" ref="F41:S41" si="14">F40/F38</f>
        <v>0.26492627927146573</v>
      </c>
      <c r="G41" s="134">
        <f t="shared" si="14"/>
        <v>0.12847988799741533</v>
      </c>
      <c r="H41" s="134">
        <f t="shared" si="14"/>
        <v>0.18462214733140409</v>
      </c>
      <c r="I41" s="134">
        <f t="shared" si="14"/>
        <v>0.16389577945497089</v>
      </c>
      <c r="J41" s="134">
        <f t="shared" si="14"/>
        <v>0.17192482408479559</v>
      </c>
      <c r="K41" s="134">
        <f t="shared" si="14"/>
        <v>0.2863183883592047</v>
      </c>
      <c r="L41" s="134">
        <f t="shared" si="14"/>
        <v>0.25832147375079068</v>
      </c>
      <c r="M41" s="134">
        <f t="shared" si="14"/>
        <v>0.19535134487509734</v>
      </c>
      <c r="N41" s="134">
        <f t="shared" si="14"/>
        <v>0.31130063965884863</v>
      </c>
      <c r="O41" s="134">
        <f t="shared" si="14"/>
        <v>0.2877464788732394</v>
      </c>
      <c r="P41" s="134">
        <f t="shared" si="14"/>
        <v>0.28925757100411537</v>
      </c>
      <c r="Q41" s="134">
        <f>Q40/Q38</f>
        <v>0.25297379672353215</v>
      </c>
      <c r="R41" s="139">
        <v>0.3</v>
      </c>
      <c r="S41" s="134">
        <f t="shared" si="14"/>
        <v>0.34410936492205091</v>
      </c>
      <c r="T41" s="139">
        <v>0.3</v>
      </c>
      <c r="U41" s="139">
        <v>0.3</v>
      </c>
      <c r="V41" s="139">
        <v>0.3</v>
      </c>
      <c r="W41" s="134">
        <f>W40/W38</f>
        <v>0.30000000000000027</v>
      </c>
      <c r="Y41" s="120"/>
      <c r="Z41" s="120"/>
      <c r="AA41" s="120"/>
      <c r="AB41" s="120"/>
      <c r="AC41" s="120"/>
      <c r="AD41" s="120"/>
      <c r="AE41" s="120"/>
      <c r="AF41" s="120"/>
      <c r="AG41" s="120"/>
      <c r="AH41" s="120"/>
      <c r="AI41" s="120"/>
      <c r="AJ41" s="120"/>
    </row>
    <row r="42" spans="3:36" x14ac:dyDescent="0.55000000000000004">
      <c r="C42" s="67"/>
      <c r="D42" s="120"/>
      <c r="E42" s="120"/>
      <c r="F42" s="120"/>
      <c r="G42" s="120"/>
      <c r="H42" s="120"/>
      <c r="I42" s="120"/>
      <c r="J42" s="120"/>
      <c r="K42" s="120"/>
      <c r="L42" s="120"/>
      <c r="M42" s="120"/>
      <c r="N42" s="120"/>
      <c r="O42" s="120"/>
      <c r="P42" s="120"/>
      <c r="Q42" s="120"/>
      <c r="R42" s="120"/>
      <c r="S42" s="120"/>
      <c r="T42" s="120"/>
      <c r="U42" s="120"/>
      <c r="V42" s="120"/>
      <c r="W42" s="120"/>
      <c r="Y42" s="120"/>
      <c r="Z42" s="120"/>
      <c r="AA42" s="120"/>
      <c r="AB42" s="120"/>
      <c r="AC42" s="120"/>
      <c r="AD42" s="120"/>
      <c r="AE42" s="120"/>
      <c r="AF42" s="120"/>
      <c r="AG42" s="120"/>
      <c r="AH42" s="120"/>
      <c r="AI42" s="120"/>
      <c r="AJ42" s="120"/>
    </row>
    <row r="43" spans="3:36" x14ac:dyDescent="0.55000000000000004">
      <c r="C43" s="136" t="s">
        <v>187</v>
      </c>
      <c r="D43" s="120"/>
      <c r="E43" s="120"/>
      <c r="F43" s="120"/>
      <c r="G43" s="120"/>
      <c r="H43" s="120"/>
      <c r="I43" s="120"/>
      <c r="J43" s="120"/>
      <c r="K43" s="120"/>
      <c r="L43" s="120"/>
      <c r="M43" s="120"/>
      <c r="N43" s="120"/>
      <c r="O43" s="120"/>
      <c r="P43" s="120"/>
      <c r="Q43" s="120"/>
      <c r="R43" s="120"/>
      <c r="S43" s="120"/>
      <c r="T43" s="120"/>
      <c r="U43" s="120"/>
      <c r="V43" s="120"/>
      <c r="W43" s="120"/>
      <c r="Y43" s="120"/>
      <c r="Z43" s="120"/>
      <c r="AA43" s="120"/>
      <c r="AB43" s="120"/>
      <c r="AC43" s="120"/>
      <c r="AD43" s="120"/>
      <c r="AE43" s="120"/>
      <c r="AF43" s="120"/>
      <c r="AG43" s="120"/>
      <c r="AH43" s="120"/>
      <c r="AI43" s="120"/>
      <c r="AJ43" s="120"/>
    </row>
    <row r="44" spans="3:36" x14ac:dyDescent="0.55000000000000004">
      <c r="C44" s="67"/>
      <c r="D44" s="120"/>
      <c r="E44" s="120"/>
      <c r="F44" s="120"/>
      <c r="G44" s="120"/>
      <c r="H44" s="120"/>
      <c r="I44" s="120"/>
      <c r="J44" s="120"/>
      <c r="K44" s="120"/>
      <c r="L44" s="120"/>
      <c r="M44" s="120"/>
      <c r="N44" s="120"/>
      <c r="O44" s="120"/>
      <c r="P44" s="120"/>
      <c r="Q44" s="120"/>
      <c r="R44" s="120"/>
      <c r="S44" s="120"/>
      <c r="T44" s="120"/>
      <c r="U44" s="120"/>
      <c r="V44" s="120"/>
      <c r="W44" s="120"/>
      <c r="Y44" s="120"/>
      <c r="Z44" s="120"/>
      <c r="AA44" s="120"/>
      <c r="AB44" s="120"/>
      <c r="AC44" s="120"/>
      <c r="AD44" s="120"/>
      <c r="AE44" s="120"/>
      <c r="AF44" s="120"/>
      <c r="AG44" s="120"/>
      <c r="AH44" s="120"/>
      <c r="AI44" s="120"/>
      <c r="AJ44" s="120"/>
    </row>
    <row r="45" spans="3:36" x14ac:dyDescent="0.55000000000000004">
      <c r="C45" s="66" t="str">
        <f>'GAAP feeder'!A9</f>
        <v xml:space="preserve">     Transaction-based revenue</v>
      </c>
      <c r="D45" s="69">
        <f>'GAAP feeder'!AA9/1000</f>
        <v>959.73299999999995</v>
      </c>
      <c r="E45" s="69">
        <f>'GAAP feeder'!AB9/1000</f>
        <v>1227.472</v>
      </c>
      <c r="F45" s="69">
        <f>'GAAP feeder'!AC9/1000</f>
        <v>1297.04</v>
      </c>
      <c r="G45" s="69">
        <f>'GAAP feeder'!AD9/1000</f>
        <v>1308.9010000000001</v>
      </c>
      <c r="H45" s="69">
        <f>'GAAP feeder'!AE9/1000</f>
        <v>1232.9690000000001</v>
      </c>
      <c r="I45" s="69">
        <f>'GAAP feeder'!AF9/1000</f>
        <v>1475.7070000000001</v>
      </c>
      <c r="J45" s="69">
        <f>'GAAP feeder'!AG9/1000</f>
        <v>1517.89</v>
      </c>
      <c r="K45" s="69">
        <f>'GAAP feeder'!AH9/1000</f>
        <v>1474.9739999999999</v>
      </c>
      <c r="L45" s="69">
        <f>'GAAP feeder'!AI9/1000</f>
        <v>1422.7049999999999</v>
      </c>
      <c r="M45" s="69">
        <f>'GAAP feeder'!AJ9/1000</f>
        <v>1637.654</v>
      </c>
      <c r="N45" s="69">
        <f>'GAAP feeder'!AK9/1000</f>
        <v>1658.6679999999999</v>
      </c>
      <c r="O45" s="69">
        <f>'GAAP feeder'!AL9/1000</f>
        <v>1596.2739999999999</v>
      </c>
      <c r="P45" s="69">
        <f>'GAAP feeder'!AM9/1000</f>
        <v>1511.2090000000001</v>
      </c>
      <c r="Q45" s="69">
        <f>'GAAP feeder'!AN9/1000</f>
        <v>1712.9670000000001</v>
      </c>
      <c r="R45" s="69"/>
      <c r="S45" s="69"/>
      <c r="T45" s="69"/>
      <c r="U45" s="69"/>
      <c r="V45" s="69"/>
      <c r="W45" s="69"/>
    </row>
    <row r="46" spans="3:36" x14ac:dyDescent="0.55000000000000004">
      <c r="C46" s="66" t="str">
        <f>'GAAP feeder'!A10</f>
        <v xml:space="preserve">     Starbucks transaction-based revenue</v>
      </c>
      <c r="D46" s="69">
        <f>'GAAP feeder'!AA10/1000</f>
        <v>0</v>
      </c>
      <c r="E46" s="69">
        <f>'GAAP feeder'!AB10/1000</f>
        <v>0</v>
      </c>
      <c r="F46" s="69">
        <f>'GAAP feeder'!AC10/1000</f>
        <v>0</v>
      </c>
      <c r="G46" s="69">
        <f>'GAAP feeder'!AD10/1000</f>
        <v>0</v>
      </c>
      <c r="H46" s="69">
        <f>'GAAP feeder'!AE10/1000</f>
        <v>0</v>
      </c>
      <c r="I46" s="69">
        <f>'GAAP feeder'!AF10/1000</f>
        <v>0</v>
      </c>
      <c r="J46" s="69">
        <f>'GAAP feeder'!AG10/1000</f>
        <v>0</v>
      </c>
      <c r="K46" s="69">
        <f>'GAAP feeder'!AH10/1000</f>
        <v>0</v>
      </c>
      <c r="L46" s="69">
        <f>'GAAP feeder'!AI10/1000</f>
        <v>0</v>
      </c>
      <c r="M46" s="69">
        <f>'GAAP feeder'!AJ10/1000</f>
        <v>0</v>
      </c>
      <c r="N46" s="69">
        <f>'GAAP feeder'!AK10/1000</f>
        <v>0</v>
      </c>
      <c r="O46" s="69">
        <f>'GAAP feeder'!AL10/1000</f>
        <v>0</v>
      </c>
      <c r="P46" s="69">
        <f>'GAAP feeder'!AM10/1000</f>
        <v>0</v>
      </c>
      <c r="Q46" s="69">
        <f>'GAAP feeder'!AN10/1000</f>
        <v>0</v>
      </c>
      <c r="R46" s="69"/>
      <c r="S46" s="69"/>
      <c r="T46" s="69"/>
      <c r="U46" s="69"/>
      <c r="V46" s="69"/>
      <c r="W46" s="69"/>
    </row>
    <row r="47" spans="3:36" x14ac:dyDescent="0.55000000000000004">
      <c r="C47" s="66" t="str">
        <f>'GAAP feeder'!A11</f>
        <v xml:space="preserve">     Subscription and services-based revenue</v>
      </c>
      <c r="D47" s="69">
        <f>'GAAP feeder'!AA11/1000</f>
        <v>557.68100000000004</v>
      </c>
      <c r="E47" s="69">
        <f>'GAAP feeder'!AB11/1000</f>
        <v>685.178</v>
      </c>
      <c r="F47" s="69">
        <f>'GAAP feeder'!AC11/1000</f>
        <v>694.77</v>
      </c>
      <c r="G47" s="69">
        <f>'GAAP feeder'!AD11/1000</f>
        <v>772.10199999999998</v>
      </c>
      <c r="H47" s="69">
        <f>'GAAP feeder'!AE11/1000</f>
        <v>959.55700000000002</v>
      </c>
      <c r="I47" s="69">
        <f>'GAAP feeder'!AF11/1000</f>
        <v>1094.856</v>
      </c>
      <c r="J47" s="69">
        <f>'GAAP feeder'!AG11/1000</f>
        <v>1191.511</v>
      </c>
      <c r="K47" s="69">
        <f>'GAAP feeder'!AH11/1000</f>
        <v>1306.8489999999999</v>
      </c>
      <c r="L47" s="69">
        <f>'GAAP feeder'!AI11/1000</f>
        <v>1366.2239999999999</v>
      </c>
      <c r="M47" s="69">
        <f>'GAAP feeder'!AJ11/1000</f>
        <v>1461.4970000000001</v>
      </c>
      <c r="N47" s="69">
        <f>'GAAP feeder'!AK11/1000</f>
        <v>1492.9</v>
      </c>
      <c r="O47" s="69">
        <f>'GAAP feeder'!AL11/1000</f>
        <v>1624.221</v>
      </c>
      <c r="P47" s="69">
        <f>'GAAP feeder'!AM11/1000</f>
        <v>1682.2940000000001</v>
      </c>
      <c r="Q47" s="69">
        <f>'GAAP feeder'!AN11/1000</f>
        <v>1787.893</v>
      </c>
      <c r="R47" s="69"/>
      <c r="S47" s="69"/>
      <c r="T47" s="69"/>
      <c r="U47" s="69"/>
      <c r="V47" s="69"/>
      <c r="W47" s="69"/>
    </row>
    <row r="48" spans="3:36" x14ac:dyDescent="0.55000000000000004">
      <c r="C48" s="66" t="str">
        <f>'GAAP feeder'!A12</f>
        <v xml:space="preserve">     Hardware revenue</v>
      </c>
      <c r="D48" s="69">
        <f>'GAAP feeder'!AA12/1000</f>
        <v>28.788</v>
      </c>
      <c r="E48" s="69">
        <f>'GAAP feeder'!AB12/1000</f>
        <v>43.725999999999999</v>
      </c>
      <c r="F48" s="69">
        <f>'GAAP feeder'!AC12/1000</f>
        <v>37.255000000000003</v>
      </c>
      <c r="G48" s="69">
        <f>'GAAP feeder'!AD12/1000</f>
        <v>35.909999999999997</v>
      </c>
      <c r="H48" s="69">
        <f>'GAAP feeder'!AE12/1000</f>
        <v>37.326000000000001</v>
      </c>
      <c r="I48" s="69">
        <f>'GAAP feeder'!AF12/1000</f>
        <v>48.051000000000002</v>
      </c>
      <c r="J48" s="69">
        <f>'GAAP feeder'!AG12/1000</f>
        <v>43.387999999999998</v>
      </c>
      <c r="K48" s="69">
        <f>'GAAP feeder'!AH12/1000</f>
        <v>35.652999999999999</v>
      </c>
      <c r="L48" s="69">
        <f>'GAAP feeder'!AI12/1000</f>
        <v>37.451000000000001</v>
      </c>
      <c r="M48" s="69">
        <f>'GAAP feeder'!AJ12/1000</f>
        <v>44.921999999999997</v>
      </c>
      <c r="N48" s="69">
        <f>'GAAP feeder'!AK12/1000</f>
        <v>42.341000000000001</v>
      </c>
      <c r="O48" s="69">
        <f>'GAAP feeder'!AL12/1000</f>
        <v>32.463999999999999</v>
      </c>
      <c r="P48" s="69">
        <f>'GAAP feeder'!AM12/1000</f>
        <v>32.500999999999998</v>
      </c>
      <c r="Q48" s="69">
        <f>'GAAP feeder'!AN12/1000</f>
        <v>42.96</v>
      </c>
      <c r="R48" s="69"/>
      <c r="S48" s="69"/>
      <c r="T48" s="69"/>
      <c r="U48" s="69"/>
      <c r="V48" s="69"/>
      <c r="W48" s="69"/>
    </row>
    <row r="49" spans="3:36" x14ac:dyDescent="0.55000000000000004">
      <c r="C49" s="66" t="str">
        <f>'GAAP feeder'!A13</f>
        <v xml:space="preserve">     Bitcoin revenue</v>
      </c>
      <c r="D49" s="69">
        <f>'GAAP feeder'!AA13/1000</f>
        <v>3511.0680000000002</v>
      </c>
      <c r="E49" s="69">
        <f>'GAAP feeder'!AB13/1000</f>
        <v>2724.2959999999998</v>
      </c>
      <c r="F49" s="69">
        <f>'GAAP feeder'!AC13/1000</f>
        <v>1815.662</v>
      </c>
      <c r="G49" s="69">
        <f>'GAAP feeder'!AD13/1000</f>
        <v>1961.6210000000001</v>
      </c>
      <c r="H49" s="69">
        <f>'GAAP feeder'!AE13/1000</f>
        <v>1730.7929999999999</v>
      </c>
      <c r="I49" s="69">
        <f>'GAAP feeder'!AF13/1000</f>
        <v>1785.885</v>
      </c>
      <c r="J49" s="69">
        <f>'GAAP feeder'!AG13/1000</f>
        <v>1762.752</v>
      </c>
      <c r="K49" s="69">
        <f>'GAAP feeder'!AH13/1000</f>
        <v>1833.4259999999999</v>
      </c>
      <c r="L49" s="69">
        <f>'GAAP feeder'!AI13/1000</f>
        <v>2163.7510000000002</v>
      </c>
      <c r="M49" s="69">
        <f>'GAAP feeder'!AJ13/1000</f>
        <v>2390.884</v>
      </c>
      <c r="N49" s="69">
        <f>'GAAP feeder'!AK13/1000</f>
        <v>2423.5839999999998</v>
      </c>
      <c r="O49" s="69">
        <f>'GAAP feeder'!AL13/1000</f>
        <v>2520.0830000000001</v>
      </c>
      <c r="P49" s="69">
        <f>'GAAP feeder'!AM13/1000</f>
        <v>2731.1239999999998</v>
      </c>
      <c r="Q49" s="69">
        <f>'GAAP feeder'!AN13/1000</f>
        <v>2611.7429999999999</v>
      </c>
      <c r="R49" s="69"/>
      <c r="S49" s="69"/>
      <c r="T49" s="69"/>
      <c r="U49" s="69"/>
      <c r="V49" s="69"/>
      <c r="W49" s="69"/>
    </row>
    <row r="50" spans="3:36" x14ac:dyDescent="0.55000000000000004">
      <c r="C50" s="67" t="str">
        <f>'GAAP feeder'!A14</f>
        <v xml:space="preserve">          Total net revenue</v>
      </c>
      <c r="D50" s="86">
        <f>'GAAP feeder'!AA14/1000</f>
        <v>5057.2700000000004</v>
      </c>
      <c r="E50" s="86">
        <f>'GAAP feeder'!AB14/1000</f>
        <v>4680.6719999999996</v>
      </c>
      <c r="F50" s="86">
        <f>'GAAP feeder'!AC14/1000</f>
        <v>3844.7269999999999</v>
      </c>
      <c r="G50" s="86">
        <f>'GAAP feeder'!AD14/1000</f>
        <v>4078.5340000000001</v>
      </c>
      <c r="H50" s="86">
        <f>'GAAP feeder'!AE14/1000</f>
        <v>3960.645</v>
      </c>
      <c r="I50" s="86">
        <f>'GAAP feeder'!AF14/1000</f>
        <v>4404.4989999999998</v>
      </c>
      <c r="J50" s="86">
        <f>'GAAP feeder'!AG14/1000</f>
        <v>4515.5410000000002</v>
      </c>
      <c r="K50" s="86">
        <f>'GAAP feeder'!AH14/1000</f>
        <v>4650.902</v>
      </c>
      <c r="L50" s="86">
        <f>'GAAP feeder'!AI14/1000</f>
        <v>4990.1310000000003</v>
      </c>
      <c r="M50" s="86">
        <f>'GAAP feeder'!AJ14/1000</f>
        <v>5534.9570000000003</v>
      </c>
      <c r="N50" s="86">
        <f>'GAAP feeder'!AK14/1000</f>
        <v>5617.4930000000004</v>
      </c>
      <c r="O50" s="86">
        <f>'GAAP feeder'!AL14/1000</f>
        <v>5773.0420000000004</v>
      </c>
      <c r="P50" s="86">
        <f>'GAAP feeder'!AM14/1000</f>
        <v>5957.1279999999997</v>
      </c>
      <c r="Q50" s="86">
        <f>'GAAP feeder'!AN14/1000</f>
        <v>6155.5630000000001</v>
      </c>
      <c r="R50" s="86">
        <f>R11+R28+R40</f>
        <v>6165.4352525925933</v>
      </c>
      <c r="S50" s="86">
        <f>Master!I41-P50-Q50-R50</f>
        <v>6471.2526428881192</v>
      </c>
      <c r="T50" s="86">
        <f>T11+T28+T38</f>
        <v>6382.4053850565269</v>
      </c>
      <c r="U50" s="86">
        <f>U11+U28+U38</f>
        <v>6752.419931856527</v>
      </c>
      <c r="V50" s="86">
        <f>V11+V28+V38</f>
        <v>6802.8868632565282</v>
      </c>
      <c r="W50" s="86">
        <f>W11+W28+W38</f>
        <v>7237.1023648319788</v>
      </c>
    </row>
    <row r="51" spans="3:36" x14ac:dyDescent="0.55000000000000004">
      <c r="C51" s="66"/>
      <c r="D51" s="69"/>
      <c r="E51" s="69"/>
      <c r="F51" s="69"/>
      <c r="G51" s="69"/>
      <c r="H51" s="69"/>
      <c r="I51" s="69"/>
      <c r="J51" s="69"/>
      <c r="K51" s="69"/>
      <c r="L51" s="69"/>
      <c r="M51" s="69"/>
      <c r="N51" s="69"/>
      <c r="O51" s="69"/>
      <c r="P51" s="69"/>
      <c r="Q51" s="69"/>
      <c r="R51" s="69"/>
      <c r="S51" s="69"/>
      <c r="T51" s="69"/>
      <c r="U51" s="69"/>
      <c r="V51" s="69"/>
      <c r="W51" s="69"/>
    </row>
    <row r="52" spans="3:36" x14ac:dyDescent="0.55000000000000004">
      <c r="C52" s="66" t="str">
        <f>'GAAP feeder'!A16</f>
        <v>Cost of revenue</v>
      </c>
      <c r="D52" s="69"/>
      <c r="E52" s="69"/>
      <c r="F52" s="69"/>
      <c r="G52" s="69"/>
      <c r="H52" s="69"/>
      <c r="I52" s="69"/>
      <c r="J52" s="69"/>
      <c r="K52" s="69"/>
      <c r="L52" s="69"/>
      <c r="M52" s="69"/>
      <c r="N52" s="69"/>
      <c r="O52" s="69"/>
      <c r="P52" s="69"/>
      <c r="Q52" s="69"/>
      <c r="R52" s="69"/>
      <c r="S52" s="69"/>
      <c r="T52" s="69"/>
      <c r="U52" s="69"/>
      <c r="V52" s="69"/>
      <c r="W52" s="69"/>
    </row>
    <row r="53" spans="3:36" x14ac:dyDescent="0.55000000000000004">
      <c r="C53" s="66" t="str">
        <f>'GAAP feeder'!A17</f>
        <v xml:space="preserve">     Transaction-based costs</v>
      </c>
      <c r="D53" s="69">
        <f>'GAAP feeder'!AA17/1000</f>
        <v>524.28099999999995</v>
      </c>
      <c r="E53" s="69">
        <f>'GAAP feeder'!AB17/1000</f>
        <v>682.34799999999996</v>
      </c>
      <c r="F53" s="69">
        <f>'GAAP feeder'!AC17/1000</f>
        <v>751.79399999999998</v>
      </c>
      <c r="G53" s="69">
        <f>'GAAP feeder'!AD17/1000</f>
        <v>761.07899999999995</v>
      </c>
      <c r="H53" s="69">
        <f>'GAAP feeder'!AE17/1000</f>
        <v>716.23599999999999</v>
      </c>
      <c r="I53" s="69">
        <f>'GAAP feeder'!AF17/1000</f>
        <v>875.76199999999994</v>
      </c>
      <c r="J53" s="69">
        <f>'GAAP feeder'!AG17/1000</f>
        <v>901.99</v>
      </c>
      <c r="K53" s="69">
        <f>'GAAP feeder'!AH17/1000</f>
        <v>870.04</v>
      </c>
      <c r="L53" s="69">
        <f>'GAAP feeder'!AI17/1000</f>
        <v>820.78700000000003</v>
      </c>
      <c r="M53" s="69">
        <f>'GAAP feeder'!AJ17/1000</f>
        <v>950.52300000000002</v>
      </c>
      <c r="N53" s="69">
        <f>'GAAP feeder'!AK17/1000</f>
        <v>984.65800000000002</v>
      </c>
      <c r="O53" s="69">
        <f>'GAAP feeder'!AL17/1000</f>
        <v>946.048</v>
      </c>
      <c r="P53" s="69">
        <f>'GAAP feeder'!AM17/1000</f>
        <v>873.16499999999996</v>
      </c>
      <c r="Q53" s="69">
        <f>'GAAP feeder'!AN17/1000</f>
        <v>1000.0549999999999</v>
      </c>
      <c r="R53" s="69"/>
      <c r="S53" s="69"/>
      <c r="T53" s="69"/>
      <c r="U53" s="69"/>
      <c r="V53" s="69"/>
      <c r="W53" s="69"/>
    </row>
    <row r="54" spans="3:36" x14ac:dyDescent="0.55000000000000004">
      <c r="C54" s="66" t="str">
        <f>'GAAP feeder'!A18</f>
        <v xml:space="preserve">     Starbucks transaction-based costs</v>
      </c>
      <c r="D54" s="69">
        <f>'GAAP feeder'!AA18/1000</f>
        <v>0</v>
      </c>
      <c r="E54" s="69">
        <f>'GAAP feeder'!AB18/1000</f>
        <v>0</v>
      </c>
      <c r="F54" s="69">
        <f>'GAAP feeder'!AC18/1000</f>
        <v>0</v>
      </c>
      <c r="G54" s="69">
        <f>'GAAP feeder'!AD18/1000</f>
        <v>0</v>
      </c>
      <c r="H54" s="69">
        <f>'GAAP feeder'!AE18/1000</f>
        <v>0</v>
      </c>
      <c r="I54" s="69">
        <f>'GAAP feeder'!AF18/1000</f>
        <v>0</v>
      </c>
      <c r="J54" s="69">
        <f>'GAAP feeder'!AG18/1000</f>
        <v>0</v>
      </c>
      <c r="K54" s="69">
        <f>'GAAP feeder'!AH18/1000</f>
        <v>0</v>
      </c>
      <c r="L54" s="69">
        <f>'GAAP feeder'!AI18/1000</f>
        <v>0</v>
      </c>
      <c r="M54" s="69">
        <f>'GAAP feeder'!AJ18/1000</f>
        <v>0</v>
      </c>
      <c r="N54" s="69">
        <f>'GAAP feeder'!AK18/1000</f>
        <v>0</v>
      </c>
      <c r="O54" s="69">
        <f>'GAAP feeder'!AL18/1000</f>
        <v>0</v>
      </c>
      <c r="P54" s="69">
        <f>'GAAP feeder'!AM18/1000</f>
        <v>0</v>
      </c>
      <c r="Q54" s="69">
        <f>'GAAP feeder'!AN18/1000</f>
        <v>0</v>
      </c>
      <c r="R54" s="69"/>
      <c r="S54" s="69"/>
      <c r="T54" s="69"/>
      <c r="U54" s="69"/>
      <c r="V54" s="69"/>
      <c r="W54" s="69"/>
    </row>
    <row r="55" spans="3:36" x14ac:dyDescent="0.55000000000000004">
      <c r="C55" s="66" t="str">
        <f>'GAAP feeder'!A19</f>
        <v xml:space="preserve">     Subscription and services-based costs</v>
      </c>
      <c r="D55" s="69">
        <f>'GAAP feeder'!AA19/1000</f>
        <v>88.572000000000003</v>
      </c>
      <c r="E55" s="69">
        <f>'GAAP feeder'!AB19/1000</f>
        <v>120.81</v>
      </c>
      <c r="F55" s="69">
        <f>'GAAP feeder'!AC19/1000</f>
        <v>128.17699999999999</v>
      </c>
      <c r="G55" s="69">
        <f>'GAAP feeder'!AD19/1000</f>
        <v>145.49700000000001</v>
      </c>
      <c r="H55" s="69">
        <f>'GAAP feeder'!AE19/1000</f>
        <v>182.857</v>
      </c>
      <c r="I55" s="69">
        <f>'GAAP feeder'!AF19/1000</f>
        <v>213.27099999999999</v>
      </c>
      <c r="J55" s="69">
        <f>'GAAP feeder'!AG19/1000</f>
        <v>225.90299999999999</v>
      </c>
      <c r="K55" s="69">
        <f>'GAAP feeder'!AH19/1000</f>
        <v>239.714</v>
      </c>
      <c r="L55" s="69">
        <f>'GAAP feeder'!AI19/1000</f>
        <v>264.09199999999998</v>
      </c>
      <c r="M55" s="69">
        <f>'GAAP feeder'!AJ19/1000</f>
        <v>279.22300000000001</v>
      </c>
      <c r="N55" s="69">
        <f>'GAAP feeder'!AK19/1000</f>
        <v>259.262</v>
      </c>
      <c r="O55" s="69">
        <f>'GAAP feeder'!AL19/1000</f>
        <v>272.55200000000002</v>
      </c>
      <c r="P55" s="69">
        <f>'GAAP feeder'!AM19/1000</f>
        <v>269.66800000000001</v>
      </c>
      <c r="Q55" s="69">
        <f>'GAAP feeder'!AN19/1000</f>
        <v>291.80099999999999</v>
      </c>
      <c r="R55" s="69"/>
      <c r="S55" s="69"/>
      <c r="T55" s="69"/>
      <c r="U55" s="69"/>
      <c r="V55" s="69"/>
      <c r="W55" s="69"/>
    </row>
    <row r="56" spans="3:36" x14ac:dyDescent="0.55000000000000004">
      <c r="C56" s="66" t="str">
        <f>'GAAP feeder'!A20</f>
        <v xml:space="preserve">     Hardware costs</v>
      </c>
      <c r="D56" s="69">
        <f>'GAAP feeder'!AA20/1000</f>
        <v>40.481999999999999</v>
      </c>
      <c r="E56" s="69">
        <f>'GAAP feeder'!AB20/1000</f>
        <v>61.402999999999999</v>
      </c>
      <c r="F56" s="69">
        <f>'GAAP feeder'!AC20/1000</f>
        <v>51.15</v>
      </c>
      <c r="G56" s="69">
        <f>'GAAP feeder'!AD20/1000</f>
        <v>68.150000000000006</v>
      </c>
      <c r="H56" s="69">
        <f>'GAAP feeder'!AE20/1000</f>
        <v>63.664000000000001</v>
      </c>
      <c r="I56" s="69">
        <f>'GAAP feeder'!AF20/1000</f>
        <v>83.494</v>
      </c>
      <c r="J56" s="69">
        <f>'GAAP feeder'!AG20/1000</f>
        <v>76.001999999999995</v>
      </c>
      <c r="K56" s="69">
        <f>'GAAP feeder'!AH20/1000</f>
        <v>63.835000000000001</v>
      </c>
      <c r="L56" s="69">
        <f>'GAAP feeder'!AI20/1000</f>
        <v>58.784999999999997</v>
      </c>
      <c r="M56" s="69">
        <f>'GAAP feeder'!AJ20/1000</f>
        <v>74.084999999999994</v>
      </c>
      <c r="N56" s="69">
        <f>'GAAP feeder'!AK20/1000</f>
        <v>78.337999999999994</v>
      </c>
      <c r="O56" s="69">
        <f>'GAAP feeder'!AL20/1000</f>
        <v>56.442</v>
      </c>
      <c r="P56" s="69">
        <f>'GAAP feeder'!AM20/1000</f>
        <v>50.784999999999997</v>
      </c>
      <c r="Q56" s="69">
        <f>'GAAP feeder'!AN20/1000</f>
        <v>68.308999999999997</v>
      </c>
      <c r="R56" s="69"/>
      <c r="S56" s="69"/>
      <c r="T56" s="69"/>
      <c r="U56" s="69"/>
      <c r="V56" s="69"/>
      <c r="W56" s="69"/>
    </row>
    <row r="57" spans="3:36" x14ac:dyDescent="0.55000000000000004">
      <c r="C57" s="66" t="str">
        <f>'GAAP feeder'!A21</f>
        <v xml:space="preserve">     Bitcoin costs</v>
      </c>
      <c r="D57" s="69">
        <f>'GAAP feeder'!AA21/1000</f>
        <v>3436.1350000000002</v>
      </c>
      <c r="E57" s="69">
        <f>'GAAP feeder'!AB21/1000</f>
        <v>2669.6410000000001</v>
      </c>
      <c r="F57" s="69">
        <f>'GAAP feeder'!AC21/1000</f>
        <v>1774.04</v>
      </c>
      <c r="G57" s="69">
        <f>'GAAP feeder'!AD21/1000</f>
        <v>1915.1759999999999</v>
      </c>
      <c r="H57" s="69">
        <f>'GAAP feeder'!AE21/1000</f>
        <v>1687.4590000000001</v>
      </c>
      <c r="I57" s="69">
        <f>'GAAP feeder'!AF21/1000</f>
        <v>1744.425</v>
      </c>
      <c r="J57" s="69">
        <f>'GAAP feeder'!AG21/1000</f>
        <v>1726.0509999999999</v>
      </c>
      <c r="K57" s="69">
        <f>'GAAP feeder'!AH21/1000</f>
        <v>1798.798</v>
      </c>
      <c r="L57" s="69">
        <f>'GAAP feeder'!AI21/1000</f>
        <v>2113.375</v>
      </c>
      <c r="M57" s="69">
        <f>'GAAP feeder'!AJ21/1000</f>
        <v>2346.6329999999998</v>
      </c>
      <c r="N57" s="69">
        <f>'GAAP feeder'!AK21/1000</f>
        <v>2378.9059999999999</v>
      </c>
      <c r="O57" s="69">
        <f>'GAAP feeder'!AL21/1000</f>
        <v>2454.1990000000001</v>
      </c>
      <c r="P57" s="69">
        <f>'GAAP feeder'!AM21/1000</f>
        <v>2651.01</v>
      </c>
      <c r="Q57" s="69">
        <f>'GAAP feeder'!AN21/1000</f>
        <v>2544.3290000000002</v>
      </c>
      <c r="R57" s="69"/>
      <c r="S57" s="69"/>
      <c r="T57" s="69"/>
      <c r="U57" s="69"/>
      <c r="V57" s="69"/>
      <c r="W57" s="69"/>
    </row>
    <row r="58" spans="3:36" x14ac:dyDescent="0.55000000000000004">
      <c r="C58" s="66" t="str">
        <f>'GAAP feeder'!A22</f>
        <v xml:space="preserve">     Amortization of acquired technology assets(1)</v>
      </c>
      <c r="D58" s="69">
        <f>'GAAP feeder'!AA22/1000</f>
        <v>4.3</v>
      </c>
      <c r="E58" s="69">
        <f>'GAAP feeder'!AB22/1000</f>
        <v>5.4050000000000002</v>
      </c>
      <c r="F58" s="69">
        <f>'GAAP feeder'!AC22/1000</f>
        <v>6.351</v>
      </c>
      <c r="G58" s="69">
        <f>'GAAP feeder'!AD22/1000</f>
        <v>6.59</v>
      </c>
      <c r="H58" s="69">
        <f>'GAAP feeder'!AE22/1000</f>
        <v>15.468999999999999</v>
      </c>
      <c r="I58" s="69">
        <f>'GAAP feeder'!AF22/1000</f>
        <v>17.899000000000001</v>
      </c>
      <c r="J58" s="69">
        <f>'GAAP feeder'!AG22/1000</f>
        <v>18.506</v>
      </c>
      <c r="K58" s="69">
        <f>'GAAP feeder'!AH22/1000</f>
        <v>18.32</v>
      </c>
      <c r="L58" s="69">
        <f>'GAAP feeder'!AI22/1000</f>
        <v>18.507999999999999</v>
      </c>
      <c r="M58" s="69">
        <f>'GAAP feeder'!AJ22/1000</f>
        <v>18.391999999999999</v>
      </c>
      <c r="N58" s="69">
        <f>'GAAP feeder'!AK22/1000</f>
        <v>17.88</v>
      </c>
      <c r="O58" s="69">
        <f>'GAAP feeder'!AL22/1000</f>
        <v>18.048999999999999</v>
      </c>
      <c r="P58" s="69">
        <f>'GAAP feeder'!AM22/1000</f>
        <v>18.027000000000001</v>
      </c>
      <c r="Q58" s="69">
        <f>'GAAP feeder'!AN22/1000</f>
        <v>17.588999999999999</v>
      </c>
      <c r="R58" s="69"/>
      <c r="S58" s="69"/>
      <c r="T58" s="69"/>
      <c r="U58" s="69"/>
      <c r="V58" s="69"/>
      <c r="W58" s="69"/>
    </row>
    <row r="59" spans="3:36" x14ac:dyDescent="0.55000000000000004">
      <c r="C59" s="66" t="str">
        <f>'GAAP feeder'!A23</f>
        <v xml:space="preserve">          Total cost of revenue</v>
      </c>
      <c r="D59" s="69">
        <f>'GAAP feeder'!AA23/1000</f>
        <v>4093.77</v>
      </c>
      <c r="E59" s="69">
        <f>'GAAP feeder'!AB23/1000</f>
        <v>3539.607</v>
      </c>
      <c r="F59" s="69">
        <f>'GAAP feeder'!AC23/1000</f>
        <v>2711.5120000000002</v>
      </c>
      <c r="G59" s="69">
        <f>'GAAP feeder'!AD23/1000</f>
        <v>2896.4920000000002</v>
      </c>
      <c r="H59" s="69">
        <f>'GAAP feeder'!AE23/1000</f>
        <v>2665.6849999999999</v>
      </c>
      <c r="I59" s="69">
        <f>'GAAP feeder'!AF23/1000</f>
        <v>2934.8510000000001</v>
      </c>
      <c r="J59" s="69">
        <f>'GAAP feeder'!AG23/1000</f>
        <v>2948.4520000000002</v>
      </c>
      <c r="K59" s="69">
        <f>'GAAP feeder'!AH23/1000</f>
        <v>2990.7069999999999</v>
      </c>
      <c r="L59" s="69">
        <f>'GAAP feeder'!AI23/1000</f>
        <v>3275.547</v>
      </c>
      <c r="M59" s="69">
        <f>'GAAP feeder'!AJ23/1000</f>
        <v>3668.8560000000002</v>
      </c>
      <c r="N59" s="69">
        <f>'GAAP feeder'!AK23/1000</f>
        <v>3719.0439999999999</v>
      </c>
      <c r="O59" s="69">
        <f>'GAAP feeder'!AL23/1000</f>
        <v>3747.29</v>
      </c>
      <c r="P59" s="69">
        <f>'GAAP feeder'!AM23/1000</f>
        <v>3862.6550000000002</v>
      </c>
      <c r="Q59" s="69">
        <f>'GAAP feeder'!AN23/1000</f>
        <v>3922.0830000000001</v>
      </c>
      <c r="R59" s="69">
        <f t="shared" ref="R59:W59" si="15">R50-R60</f>
        <v>3926.6370284500003</v>
      </c>
      <c r="S59" s="69">
        <f t="shared" si="15"/>
        <v>4140.5949284551825</v>
      </c>
      <c r="T59" s="69">
        <f t="shared" si="15"/>
        <v>4018.4986866000008</v>
      </c>
      <c r="U59" s="69">
        <f t="shared" si="15"/>
        <v>4194.4149078560004</v>
      </c>
      <c r="V59" s="69">
        <f t="shared" si="15"/>
        <v>4247.5461387080013</v>
      </c>
      <c r="W59" s="69">
        <f t="shared" si="15"/>
        <v>4548.8556652872776</v>
      </c>
    </row>
    <row r="60" spans="3:36" x14ac:dyDescent="0.55000000000000004">
      <c r="C60" s="67" t="str">
        <f>'GAAP feeder'!A24</f>
        <v xml:space="preserve">          Gross profit</v>
      </c>
      <c r="D60" s="86">
        <f>'GAAP feeder'!AA24/1000</f>
        <v>963.5</v>
      </c>
      <c r="E60" s="86">
        <f>'GAAP feeder'!AB24/1000</f>
        <v>1141.0650000000001</v>
      </c>
      <c r="F60" s="86">
        <f>'GAAP feeder'!AC24/1000</f>
        <v>1133.2149999999999</v>
      </c>
      <c r="G60" s="86">
        <f>'GAAP feeder'!AD24/1000</f>
        <v>1182.0419999999999</v>
      </c>
      <c r="H60" s="86">
        <f>'GAAP feeder'!AE24/1000</f>
        <v>1294.96</v>
      </c>
      <c r="I60" s="86">
        <f>'GAAP feeder'!AF24/1000</f>
        <v>1469.6479999999999</v>
      </c>
      <c r="J60" s="86">
        <f>'GAAP feeder'!AG24/1000</f>
        <v>1567.0889999999999</v>
      </c>
      <c r="K60" s="86">
        <f>'GAAP feeder'!AH24/1000</f>
        <v>1660.1949999999999</v>
      </c>
      <c r="L60" s="86">
        <f>'GAAP feeder'!AI24/1000</f>
        <v>1714.5840000000001</v>
      </c>
      <c r="M60" s="86">
        <f>'GAAP feeder'!AJ24/1000</f>
        <v>1866.1010000000001</v>
      </c>
      <c r="N60" s="86">
        <f>'GAAP feeder'!AK24/1000</f>
        <v>1898.4490000000001</v>
      </c>
      <c r="O60" s="86">
        <f>'GAAP feeder'!AL24/1000</f>
        <v>2025.752</v>
      </c>
      <c r="P60" s="86">
        <f>'GAAP feeder'!AM24/1000</f>
        <v>2094.473</v>
      </c>
      <c r="Q60" s="86">
        <f>'GAAP feeder'!AN24/1000</f>
        <v>2233.48</v>
      </c>
      <c r="R60" s="86">
        <f>R13+R30+R40</f>
        <v>2238.798224142593</v>
      </c>
      <c r="S60" s="86">
        <f>Master!I54-P60-Q60-R60</f>
        <v>2330.6577144329362</v>
      </c>
      <c r="T60" s="86">
        <f>T13+T30+T40</f>
        <v>2363.9066984565261</v>
      </c>
      <c r="U60" s="86">
        <f>U13+U30+U40</f>
        <v>2558.0050240005266</v>
      </c>
      <c r="V60" s="86">
        <f>V13+V30+V40</f>
        <v>2555.3407245485264</v>
      </c>
      <c r="W60" s="86">
        <f>Master!J54-T60-U60-V60</f>
        <v>2688.2466995447016</v>
      </c>
      <c r="Y60" s="113">
        <f>H60/D60-1</f>
        <v>0.34401660612350815</v>
      </c>
      <c r="Z60" s="113">
        <f t="shared" ref="Z60:AJ60" si="16">I60/E60-1</f>
        <v>0.28796168491716068</v>
      </c>
      <c r="AA60" s="113">
        <f t="shared" si="16"/>
        <v>0.38286997612986062</v>
      </c>
      <c r="AB60" s="113">
        <f t="shared" si="16"/>
        <v>0.40451439119760546</v>
      </c>
      <c r="AC60" s="113">
        <f t="shared" si="16"/>
        <v>0.32404398591462291</v>
      </c>
      <c r="AD60" s="113">
        <f t="shared" si="16"/>
        <v>0.26976051408228385</v>
      </c>
      <c r="AE60" s="113">
        <f t="shared" si="16"/>
        <v>0.21144938162414517</v>
      </c>
      <c r="AF60" s="113">
        <f t="shared" si="16"/>
        <v>0.22018919464279807</v>
      </c>
      <c r="AG60" s="113">
        <f t="shared" si="16"/>
        <v>0.22156336464121895</v>
      </c>
      <c r="AH60" s="113">
        <f t="shared" si="16"/>
        <v>0.19686983716315454</v>
      </c>
      <c r="AI60" s="113">
        <f t="shared" si="16"/>
        <v>0.1792775176697361</v>
      </c>
      <c r="AJ60" s="113">
        <f t="shared" si="16"/>
        <v>0.15051482828743912</v>
      </c>
    </row>
    <row r="61" spans="3:36" x14ac:dyDescent="0.55000000000000004">
      <c r="C61" s="67" t="s">
        <v>477</v>
      </c>
      <c r="D61" s="182">
        <f>D60/D50</f>
        <v>0.19051780901553603</v>
      </c>
      <c r="E61" s="182">
        <f t="shared" ref="E61:W61" si="17">E60/E50</f>
        <v>0.24378230305392048</v>
      </c>
      <c r="F61" s="182">
        <f t="shared" si="17"/>
        <v>0.29474524459083828</v>
      </c>
      <c r="G61" s="182">
        <f t="shared" si="17"/>
        <v>0.28982031288693433</v>
      </c>
      <c r="H61" s="182">
        <f t="shared" si="17"/>
        <v>0.3269568466752259</v>
      </c>
      <c r="I61" s="182">
        <f t="shared" si="17"/>
        <v>0.33366973179015363</v>
      </c>
      <c r="J61" s="182">
        <f t="shared" si="17"/>
        <v>0.34704346610959791</v>
      </c>
      <c r="K61" s="182">
        <f t="shared" si="17"/>
        <v>0.35696193985596769</v>
      </c>
      <c r="L61" s="182">
        <f t="shared" si="17"/>
        <v>0.34359498778689374</v>
      </c>
      <c r="M61" s="182">
        <f t="shared" si="17"/>
        <v>0.33714823800799176</v>
      </c>
      <c r="N61" s="182">
        <f t="shared" si="17"/>
        <v>0.33795306910039763</v>
      </c>
      <c r="O61" s="182">
        <f t="shared" si="17"/>
        <v>0.35089853841354346</v>
      </c>
      <c r="P61" s="182">
        <f t="shared" si="17"/>
        <v>0.35159106871633444</v>
      </c>
      <c r="Q61" s="182">
        <f>Q60/Q50</f>
        <v>0.36283927237849728</v>
      </c>
      <c r="R61" s="182">
        <f t="shared" si="17"/>
        <v>0.36312087183158209</v>
      </c>
      <c r="S61" s="182">
        <f t="shared" si="17"/>
        <v>0.36015557466981601</v>
      </c>
      <c r="T61" s="182">
        <f t="shared" si="17"/>
        <v>0.37037865128267622</v>
      </c>
      <c r="U61" s="182">
        <f t="shared" si="17"/>
        <v>0.37882789426830304</v>
      </c>
      <c r="V61" s="182">
        <f t="shared" si="17"/>
        <v>0.37562593291832136</v>
      </c>
      <c r="W61" s="182">
        <f t="shared" si="17"/>
        <v>0.37145345803148849</v>
      </c>
      <c r="Y61" s="113"/>
      <c r="Z61" s="113"/>
      <c r="AA61" s="113"/>
      <c r="AB61" s="113"/>
      <c r="AC61" s="113"/>
      <c r="AD61" s="113"/>
      <c r="AE61" s="113"/>
      <c r="AF61" s="113"/>
      <c r="AG61" s="113"/>
      <c r="AH61" s="113"/>
      <c r="AI61" s="113"/>
      <c r="AJ61" s="113"/>
    </row>
    <row r="62" spans="3:36" x14ac:dyDescent="0.55000000000000004">
      <c r="C62" s="67" t="s">
        <v>685</v>
      </c>
      <c r="D62" s="182"/>
      <c r="E62" s="182"/>
      <c r="F62" s="182"/>
      <c r="G62" s="182"/>
      <c r="H62" s="182"/>
      <c r="I62" s="182"/>
      <c r="J62" s="182"/>
      <c r="K62" s="182"/>
      <c r="L62" s="182"/>
      <c r="M62" s="182"/>
      <c r="N62" s="182"/>
      <c r="O62" s="182"/>
      <c r="P62" s="182"/>
      <c r="Q62" s="192" t="s">
        <v>686</v>
      </c>
      <c r="R62" s="182"/>
      <c r="S62" s="182"/>
      <c r="T62" s="182"/>
      <c r="U62" s="182"/>
      <c r="V62" s="182"/>
      <c r="W62" s="182"/>
      <c r="Y62" s="113"/>
      <c r="Z62" s="113"/>
      <c r="AA62" s="113"/>
      <c r="AB62" s="113"/>
      <c r="AC62" s="113"/>
      <c r="AD62" s="113"/>
      <c r="AE62" s="113"/>
      <c r="AF62" s="113"/>
      <c r="AG62" s="113"/>
      <c r="AH62" s="113"/>
      <c r="AI62" s="113"/>
      <c r="AJ62" s="113"/>
    </row>
    <row r="63" spans="3:36" x14ac:dyDescent="0.55000000000000004">
      <c r="C63" s="66"/>
      <c r="D63" s="69"/>
      <c r="E63" s="69"/>
      <c r="F63" s="69"/>
      <c r="G63" s="69"/>
      <c r="H63" s="69"/>
      <c r="I63" s="69"/>
      <c r="J63" s="69"/>
      <c r="K63" s="69"/>
      <c r="L63" s="69"/>
      <c r="M63" s="69"/>
      <c r="N63" s="69"/>
      <c r="O63" s="69"/>
      <c r="P63" s="69"/>
      <c r="Q63" s="234">
        <f>2175/M60-1</f>
        <v>0.16553176918076784</v>
      </c>
      <c r="R63" s="69"/>
      <c r="S63" s="69"/>
      <c r="T63" s="69"/>
      <c r="U63" s="69"/>
      <c r="V63" s="69"/>
      <c r="W63" s="69"/>
    </row>
    <row r="64" spans="3:36" x14ac:dyDescent="0.55000000000000004">
      <c r="C64" s="66" t="str">
        <f>'GAAP feeder'!A26</f>
        <v>Operating expenses</v>
      </c>
      <c r="D64" s="69"/>
      <c r="E64" s="69"/>
      <c r="F64" s="69"/>
      <c r="G64" s="69"/>
      <c r="H64" s="69"/>
      <c r="I64" s="69"/>
      <c r="J64" s="69"/>
      <c r="K64" s="69"/>
      <c r="L64" s="69"/>
      <c r="M64" s="69"/>
      <c r="N64" s="69"/>
      <c r="O64" s="69"/>
      <c r="P64" s="69"/>
      <c r="Q64" s="69"/>
      <c r="R64" s="69"/>
      <c r="S64" s="69"/>
      <c r="T64" s="69"/>
      <c r="U64" s="69"/>
      <c r="V64" s="69"/>
      <c r="W64" s="69"/>
    </row>
    <row r="65" spans="3:36" x14ac:dyDescent="0.55000000000000004">
      <c r="C65" s="66" t="str">
        <f>'GAAP feeder'!A27</f>
        <v xml:space="preserve">     Product development</v>
      </c>
      <c r="D65" s="69">
        <f>'GAAP feeder'!AA27/1000</f>
        <v>307.71100000000001</v>
      </c>
      <c r="E65" s="69">
        <f>'GAAP feeder'!AB27/1000</f>
        <v>324.05799999999999</v>
      </c>
      <c r="F65" s="69">
        <f>'GAAP feeder'!AC27/1000</f>
        <v>360.72899999999998</v>
      </c>
      <c r="G65" s="69">
        <f>'GAAP feeder'!AD27/1000</f>
        <v>391.34300000000002</v>
      </c>
      <c r="H65" s="69">
        <f>'GAAP feeder'!AE27/1000</f>
        <v>458.22399999999999</v>
      </c>
      <c r="I65" s="69">
        <f>'GAAP feeder'!AF27/1000</f>
        <v>524.827</v>
      </c>
      <c r="J65" s="69">
        <f>'GAAP feeder'!AG27/1000</f>
        <v>548.03700000000003</v>
      </c>
      <c r="K65" s="69">
        <f>'GAAP feeder'!AH27/1000</f>
        <v>604.524</v>
      </c>
      <c r="L65" s="69">
        <f>'GAAP feeder'!AI27/1000</f>
        <v>626.93700000000001</v>
      </c>
      <c r="M65" s="69">
        <f>'GAAP feeder'!AJ27/1000</f>
        <v>694.67200000000003</v>
      </c>
      <c r="N65" s="69">
        <f>'GAAP feeder'!AK27/1000</f>
        <v>713.78800000000001</v>
      </c>
      <c r="O65" s="69">
        <f>'GAAP feeder'!AL27/1000</f>
        <v>685.42200000000003</v>
      </c>
      <c r="P65" s="69">
        <f>'GAAP feeder'!AM27/1000</f>
        <v>720.57399999999996</v>
      </c>
      <c r="Q65" s="69">
        <f>'GAAP feeder'!AN27/1000</f>
        <v>713.16300000000001</v>
      </c>
      <c r="R65" s="69"/>
      <c r="S65" s="69"/>
      <c r="T65" s="69"/>
      <c r="U65" s="69"/>
      <c r="V65" s="69"/>
      <c r="W65" s="69"/>
      <c r="Y65" s="113">
        <f t="shared" ref="Y65:AJ65" si="18">H65/D65-1</f>
        <v>0.48913753489475509</v>
      </c>
      <c r="Z65" s="113">
        <f t="shared" si="18"/>
        <v>0.61954650093501784</v>
      </c>
      <c r="AA65" s="113">
        <f t="shared" si="18"/>
        <v>0.51924852174346969</v>
      </c>
      <c r="AB65" s="113">
        <f t="shared" si="18"/>
        <v>0.54474208047671735</v>
      </c>
      <c r="AC65" s="113">
        <f t="shared" si="18"/>
        <v>0.36818892070253861</v>
      </c>
      <c r="AD65" s="113">
        <f t="shared" si="18"/>
        <v>0.32362092651483265</v>
      </c>
      <c r="AE65" s="113">
        <f t="shared" si="18"/>
        <v>0.30244490791680123</v>
      </c>
      <c r="AF65" s="113">
        <f t="shared" si="18"/>
        <v>0.1338209897373801</v>
      </c>
      <c r="AG65" s="113">
        <f t="shared" si="18"/>
        <v>0.14935631490883439</v>
      </c>
      <c r="AH65" s="113">
        <f t="shared" si="18"/>
        <v>2.6618317709652839E-2</v>
      </c>
      <c r="AI65" s="113">
        <f t="shared" si="18"/>
        <v>-1</v>
      </c>
      <c r="AJ65" s="113">
        <f t="shared" si="18"/>
        <v>-1</v>
      </c>
    </row>
    <row r="66" spans="3:36" x14ac:dyDescent="0.55000000000000004">
      <c r="C66" s="66" t="s">
        <v>709</v>
      </c>
      <c r="D66" s="171">
        <f>D65/D$60</f>
        <v>0.31936792942397513</v>
      </c>
      <c r="E66" s="171">
        <f t="shared" ref="E66:P66" si="19">E65/E$60</f>
        <v>0.2839960913707808</v>
      </c>
      <c r="F66" s="171">
        <f t="shared" si="19"/>
        <v>0.31832353083924941</v>
      </c>
      <c r="G66" s="171">
        <f t="shared" si="19"/>
        <v>0.33107368435300949</v>
      </c>
      <c r="H66" s="171">
        <f t="shared" si="19"/>
        <v>0.35385185642799777</v>
      </c>
      <c r="I66" s="171">
        <f t="shared" si="19"/>
        <v>0.35711068228582626</v>
      </c>
      <c r="J66" s="171">
        <f t="shared" si="19"/>
        <v>0.34971657640376524</v>
      </c>
      <c r="K66" s="171">
        <f t="shared" si="19"/>
        <v>0.36412831022861775</v>
      </c>
      <c r="L66" s="171">
        <f t="shared" si="19"/>
        <v>0.3656496269649081</v>
      </c>
      <c r="M66" s="171">
        <f t="shared" si="19"/>
        <v>0.37225852191280107</v>
      </c>
      <c r="N66" s="171">
        <f t="shared" si="19"/>
        <v>0.37598481707962655</v>
      </c>
      <c r="O66" s="171">
        <f t="shared" si="19"/>
        <v>0.33835434939716214</v>
      </c>
      <c r="P66" s="171">
        <f t="shared" si="19"/>
        <v>0.34403594603511239</v>
      </c>
      <c r="Q66" s="171">
        <f>Q65/Q$60</f>
        <v>0.31930574708526605</v>
      </c>
      <c r="R66" s="69"/>
      <c r="S66" s="69"/>
      <c r="T66" s="69"/>
      <c r="U66" s="69"/>
      <c r="V66" s="69"/>
      <c r="W66" s="69"/>
      <c r="Y66" s="113"/>
      <c r="Z66" s="113"/>
      <c r="AA66" s="113"/>
      <c r="AB66" s="113"/>
      <c r="AC66" s="113"/>
      <c r="AD66" s="113"/>
      <c r="AE66" s="113"/>
      <c r="AF66" s="113"/>
      <c r="AG66" s="113"/>
      <c r="AH66" s="113"/>
      <c r="AI66" s="113"/>
      <c r="AJ66" s="113"/>
    </row>
    <row r="67" spans="3:36" x14ac:dyDescent="0.55000000000000004">
      <c r="C67" s="66"/>
      <c r="D67" s="69"/>
      <c r="E67" s="69"/>
      <c r="F67" s="69"/>
      <c r="G67" s="69"/>
      <c r="H67" s="69"/>
      <c r="I67" s="69"/>
      <c r="J67" s="69"/>
      <c r="K67" s="69"/>
      <c r="L67" s="69"/>
      <c r="M67" s="69"/>
      <c r="N67" s="69"/>
      <c r="O67" s="69"/>
      <c r="P67" s="69"/>
      <c r="Q67" s="69"/>
      <c r="R67" s="69"/>
      <c r="S67" s="69"/>
      <c r="T67" s="69"/>
      <c r="U67" s="69"/>
      <c r="V67" s="69"/>
      <c r="W67" s="69"/>
      <c r="Y67" s="113"/>
      <c r="Z67" s="113"/>
      <c r="AA67" s="113"/>
      <c r="AB67" s="113"/>
      <c r="AC67" s="113"/>
      <c r="AD67" s="113"/>
      <c r="AE67" s="113"/>
      <c r="AF67" s="113"/>
      <c r="AG67" s="113"/>
      <c r="AH67" s="113"/>
      <c r="AI67" s="113"/>
      <c r="AJ67" s="113"/>
    </row>
    <row r="68" spans="3:36" x14ac:dyDescent="0.55000000000000004">
      <c r="C68" s="66" t="str">
        <f>'GAAP feeder'!A28</f>
        <v xml:space="preserve">     Sales and marketing</v>
      </c>
      <c r="D68" s="69">
        <f>'GAAP feeder'!AA28/1000</f>
        <v>349.46</v>
      </c>
      <c r="E68" s="69">
        <f>'GAAP feeder'!AB28/1000</f>
        <v>373.87799999999999</v>
      </c>
      <c r="F68" s="69">
        <f>'GAAP feeder'!AC28/1000</f>
        <v>409.07299999999998</v>
      </c>
      <c r="G68" s="69">
        <f>'GAAP feeder'!AD28/1000</f>
        <v>484.77800000000002</v>
      </c>
      <c r="H68" s="69">
        <f>'GAAP feeder'!AE28/1000</f>
        <v>501.56200000000001</v>
      </c>
      <c r="I68" s="69">
        <f>'GAAP feeder'!AF28/1000</f>
        <v>530.827</v>
      </c>
      <c r="J68" s="69">
        <f>'GAAP feeder'!AG28/1000</f>
        <v>485.83800000000002</v>
      </c>
      <c r="K68" s="69">
        <f>'GAAP feeder'!AH28/1000</f>
        <v>539.72400000000005</v>
      </c>
      <c r="L68" s="69">
        <f>'GAAP feeder'!AI28/1000</f>
        <v>496.01100000000002</v>
      </c>
      <c r="M68" s="69">
        <f>'GAAP feeder'!AJ28/1000</f>
        <v>537.60699999999997</v>
      </c>
      <c r="N68" s="69">
        <f>'GAAP feeder'!AK28/1000</f>
        <v>479.38099999999997</v>
      </c>
      <c r="O68" s="69">
        <f>'GAAP feeder'!AL28/1000</f>
        <v>506.01</v>
      </c>
      <c r="P68" s="69">
        <f>'GAAP feeder'!AM28/1000</f>
        <v>443.88499999999999</v>
      </c>
      <c r="Q68" s="69">
        <f>'GAAP feeder'!AN28/1000</f>
        <v>507.56200000000001</v>
      </c>
      <c r="R68" s="69"/>
      <c r="S68" s="69"/>
      <c r="T68" s="69"/>
      <c r="U68" s="69"/>
      <c r="V68" s="69"/>
      <c r="W68" s="69"/>
      <c r="Y68" s="113">
        <f t="shared" ref="Y68:AJ68" si="20">H68/D68-1</f>
        <v>0.43524866937560813</v>
      </c>
      <c r="Z68" s="113">
        <f t="shared" si="20"/>
        <v>0.41978666837845502</v>
      </c>
      <c r="AA68" s="113">
        <f t="shared" si="20"/>
        <v>0.18765599294013557</v>
      </c>
      <c r="AB68" s="113">
        <f t="shared" si="20"/>
        <v>0.11334260218079217</v>
      </c>
      <c r="AC68" s="113">
        <f t="shared" si="20"/>
        <v>-1.1067425363165406E-2</v>
      </c>
      <c r="AD68" s="113">
        <f t="shared" si="20"/>
        <v>1.2772522874684222E-2</v>
      </c>
      <c r="AE68" s="113">
        <f t="shared" si="20"/>
        <v>-1.3290438376578284E-2</v>
      </c>
      <c r="AF68" s="113">
        <f t="shared" si="20"/>
        <v>-6.2465260021788982E-2</v>
      </c>
      <c r="AG68" s="113">
        <f t="shared" si="20"/>
        <v>-0.10509041130136232</v>
      </c>
      <c r="AH68" s="113">
        <f t="shared" si="20"/>
        <v>-5.5886549096272886E-2</v>
      </c>
      <c r="AI68" s="113">
        <f t="shared" si="20"/>
        <v>-1</v>
      </c>
      <c r="AJ68" s="113">
        <f t="shared" si="20"/>
        <v>-1</v>
      </c>
    </row>
    <row r="69" spans="3:36" x14ac:dyDescent="0.55000000000000004">
      <c r="C69" s="66" t="s">
        <v>709</v>
      </c>
      <c r="D69" s="171">
        <f t="shared" ref="D69:Q69" si="21">D68/D$60</f>
        <v>0.36269849507005708</v>
      </c>
      <c r="E69" s="171">
        <f t="shared" si="21"/>
        <v>0.32765705722285754</v>
      </c>
      <c r="F69" s="171">
        <f t="shared" si="21"/>
        <v>0.36098445572993654</v>
      </c>
      <c r="G69" s="171">
        <f t="shared" si="21"/>
        <v>0.41011909898294652</v>
      </c>
      <c r="H69" s="171">
        <f t="shared" si="21"/>
        <v>0.38731852721319576</v>
      </c>
      <c r="I69" s="171">
        <f t="shared" si="21"/>
        <v>0.36119329254352067</v>
      </c>
      <c r="J69" s="171">
        <f t="shared" si="21"/>
        <v>0.31002578666559466</v>
      </c>
      <c r="K69" s="171">
        <f t="shared" si="21"/>
        <v>0.32509675068290173</v>
      </c>
      <c r="L69" s="171">
        <f t="shared" si="21"/>
        <v>0.28928941364202632</v>
      </c>
      <c r="M69" s="171">
        <f t="shared" si="21"/>
        <v>0.28809105187768502</v>
      </c>
      <c r="N69" s="171">
        <f t="shared" si="21"/>
        <v>0.25251191894014535</v>
      </c>
      <c r="O69" s="171">
        <f t="shared" si="21"/>
        <v>0.2497887204356703</v>
      </c>
      <c r="P69" s="171">
        <f t="shared" si="21"/>
        <v>0.21193159329339648</v>
      </c>
      <c r="Q69" s="171">
        <f t="shared" si="21"/>
        <v>0.22725164317567204</v>
      </c>
      <c r="R69" s="69"/>
      <c r="S69" s="69"/>
      <c r="T69" s="69"/>
      <c r="U69" s="69"/>
      <c r="V69" s="69"/>
      <c r="W69" s="69"/>
      <c r="Y69" s="113"/>
      <c r="Z69" s="113"/>
      <c r="AA69" s="113"/>
      <c r="AB69" s="113"/>
      <c r="AC69" s="113"/>
      <c r="AD69" s="113"/>
      <c r="AE69" s="113"/>
      <c r="AF69" s="113"/>
      <c r="AG69" s="113"/>
      <c r="AH69" s="113"/>
      <c r="AI69" s="113"/>
      <c r="AJ69" s="113"/>
    </row>
    <row r="70" spans="3:36" x14ac:dyDescent="0.55000000000000004">
      <c r="C70" s="66"/>
      <c r="D70" s="69"/>
      <c r="E70" s="69"/>
      <c r="F70" s="69"/>
      <c r="G70" s="69"/>
      <c r="H70" s="69"/>
      <c r="I70" s="69"/>
      <c r="J70" s="69"/>
      <c r="K70" s="69"/>
      <c r="L70" s="69"/>
      <c r="M70" s="69"/>
      <c r="N70" s="69"/>
      <c r="O70" s="69"/>
      <c r="P70" s="69"/>
      <c r="Q70" s="69"/>
      <c r="R70" s="69"/>
      <c r="S70" s="69"/>
      <c r="T70" s="69"/>
      <c r="U70" s="69"/>
      <c r="V70" s="69"/>
      <c r="W70" s="69"/>
      <c r="Y70" s="113"/>
      <c r="Z70" s="113"/>
      <c r="AA70" s="113"/>
      <c r="AB70" s="113"/>
      <c r="AC70" s="113"/>
      <c r="AD70" s="113"/>
      <c r="AE70" s="113"/>
      <c r="AF70" s="113"/>
      <c r="AG70" s="113"/>
      <c r="AH70" s="113"/>
      <c r="AI70" s="113"/>
      <c r="AJ70" s="113"/>
    </row>
    <row r="71" spans="3:36" x14ac:dyDescent="0.55000000000000004">
      <c r="C71" s="66" t="str">
        <f>'GAAP feeder'!A29</f>
        <v xml:space="preserve">     General and administrative</v>
      </c>
      <c r="D71" s="69">
        <f>'GAAP feeder'!AA29/1000</f>
        <v>195.78299999999999</v>
      </c>
      <c r="E71" s="69">
        <f>'GAAP feeder'!AB29/1000</f>
        <v>220.892</v>
      </c>
      <c r="F71" s="69">
        <f>'GAAP feeder'!AC29/1000</f>
        <v>267.34800000000001</v>
      </c>
      <c r="G71" s="69">
        <f>'GAAP feeder'!AD29/1000</f>
        <v>298.79399999999998</v>
      </c>
      <c r="H71" s="69">
        <f>'GAAP feeder'!AE29/1000</f>
        <v>444.149</v>
      </c>
      <c r="I71" s="69">
        <f>'GAAP feeder'!AF29/1000</f>
        <v>395.72</v>
      </c>
      <c r="J71" s="69">
        <f>'GAAP feeder'!AG29/1000</f>
        <v>395.43700000000001</v>
      </c>
      <c r="K71" s="69">
        <f>'GAAP feeder'!AH29/1000</f>
        <v>451.54300000000001</v>
      </c>
      <c r="L71" s="69">
        <f>'GAAP feeder'!AI29/1000</f>
        <v>432.82499999999999</v>
      </c>
      <c r="M71" s="69">
        <f>'GAAP feeder'!AJ29/1000</f>
        <v>549.29300000000001</v>
      </c>
      <c r="N71" s="69">
        <f>'GAAP feeder'!AK29/1000</f>
        <v>480.88499999999999</v>
      </c>
      <c r="O71" s="69">
        <f>'GAAP feeder'!AL29/1000</f>
        <v>746.18700000000001</v>
      </c>
      <c r="P71" s="69">
        <f>'GAAP feeder'!AM29/1000</f>
        <v>471.26</v>
      </c>
      <c r="Q71" s="69">
        <f>'GAAP feeder'!AN29/1000</f>
        <v>473.56799999999998</v>
      </c>
      <c r="R71" s="69"/>
      <c r="S71" s="69"/>
      <c r="T71" s="69"/>
      <c r="U71" s="69"/>
      <c r="V71" s="69"/>
      <c r="W71" s="69"/>
      <c r="Y71" s="113">
        <f t="shared" ref="Y71:AJ71" si="22">H71/D71-1</f>
        <v>1.2685779664220083</v>
      </c>
      <c r="Z71" s="113">
        <f t="shared" si="22"/>
        <v>0.79146370171848712</v>
      </c>
      <c r="AA71" s="113">
        <f t="shared" si="22"/>
        <v>0.47910962490835907</v>
      </c>
      <c r="AB71" s="113">
        <f t="shared" si="22"/>
        <v>0.51121843142767265</v>
      </c>
      <c r="AC71" s="113">
        <f t="shared" si="22"/>
        <v>-2.5495948431719984E-2</v>
      </c>
      <c r="AD71" s="113">
        <f t="shared" si="22"/>
        <v>0.38808500960274928</v>
      </c>
      <c r="AE71" s="113">
        <f t="shared" si="22"/>
        <v>0.21608498951792576</v>
      </c>
      <c r="AF71" s="113">
        <f t="shared" si="22"/>
        <v>0.65252700185807333</v>
      </c>
      <c r="AG71" s="113">
        <f t="shared" si="22"/>
        <v>8.8800323456362351E-2</v>
      </c>
      <c r="AH71" s="113">
        <f t="shared" si="22"/>
        <v>-0.13785902969817565</v>
      </c>
      <c r="AI71" s="113">
        <f t="shared" si="22"/>
        <v>-1</v>
      </c>
      <c r="AJ71" s="113">
        <f t="shared" si="22"/>
        <v>-1</v>
      </c>
    </row>
    <row r="72" spans="3:36" x14ac:dyDescent="0.55000000000000004">
      <c r="C72" s="66" t="s">
        <v>709</v>
      </c>
      <c r="D72" s="171">
        <f t="shared" ref="D72:Q72" si="23">D71/D$60</f>
        <v>0.20319979242345615</v>
      </c>
      <c r="E72" s="171">
        <f t="shared" si="23"/>
        <v>0.19358406401037626</v>
      </c>
      <c r="F72" s="171">
        <f t="shared" si="23"/>
        <v>0.23591992693354749</v>
      </c>
      <c r="G72" s="171">
        <f t="shared" si="23"/>
        <v>0.25277782007745919</v>
      </c>
      <c r="H72" s="171">
        <f t="shared" si="23"/>
        <v>0.3429827948353617</v>
      </c>
      <c r="I72" s="171">
        <f t="shared" si="23"/>
        <v>0.26926175519580203</v>
      </c>
      <c r="J72" s="171">
        <f t="shared" si="23"/>
        <v>0.25233857170843521</v>
      </c>
      <c r="K72" s="171">
        <f t="shared" si="23"/>
        <v>0.27198190573998837</v>
      </c>
      <c r="L72" s="171">
        <f t="shared" si="23"/>
        <v>0.25243732590529244</v>
      </c>
      <c r="M72" s="171">
        <f t="shared" si="23"/>
        <v>0.29435330670740756</v>
      </c>
      <c r="N72" s="171">
        <f t="shared" si="23"/>
        <v>0.25330414459382367</v>
      </c>
      <c r="O72" s="171">
        <f t="shared" si="23"/>
        <v>0.36835061744971748</v>
      </c>
      <c r="P72" s="171">
        <f t="shared" si="23"/>
        <v>0.2250017068732803</v>
      </c>
      <c r="Q72" s="171">
        <f t="shared" si="23"/>
        <v>0.21203144868098214</v>
      </c>
      <c r="R72" s="69"/>
      <c r="S72" s="69"/>
      <c r="T72" s="69"/>
      <c r="U72" s="69"/>
      <c r="V72" s="69"/>
      <c r="W72" s="69"/>
      <c r="Y72" s="113"/>
      <c r="Z72" s="113"/>
      <c r="AA72" s="113"/>
      <c r="AB72" s="113"/>
      <c r="AC72" s="113"/>
      <c r="AD72" s="113"/>
      <c r="AE72" s="113"/>
      <c r="AF72" s="113"/>
      <c r="AG72" s="113"/>
      <c r="AH72" s="113"/>
      <c r="AI72" s="113"/>
      <c r="AJ72" s="113"/>
    </row>
    <row r="73" spans="3:36" x14ac:dyDescent="0.55000000000000004">
      <c r="C73" s="66"/>
      <c r="D73" s="69"/>
      <c r="E73" s="69"/>
      <c r="F73" s="69"/>
      <c r="G73" s="69"/>
      <c r="H73" s="69"/>
      <c r="I73" s="69"/>
      <c r="J73" s="69"/>
      <c r="K73" s="69"/>
      <c r="L73" s="69"/>
      <c r="M73" s="69"/>
      <c r="N73" s="69"/>
      <c r="O73" s="69"/>
      <c r="P73" s="69"/>
      <c r="Q73" s="69"/>
      <c r="R73" s="69"/>
      <c r="S73" s="69"/>
      <c r="T73" s="69"/>
      <c r="U73" s="69"/>
      <c r="V73" s="69"/>
      <c r="W73" s="69"/>
      <c r="Y73" s="113"/>
      <c r="Z73" s="113"/>
      <c r="AA73" s="113"/>
      <c r="AB73" s="113"/>
      <c r="AC73" s="113"/>
      <c r="AD73" s="113"/>
      <c r="AE73" s="113"/>
      <c r="AF73" s="113"/>
      <c r="AG73" s="113"/>
      <c r="AH73" s="113"/>
      <c r="AI73" s="113"/>
      <c r="AJ73" s="113"/>
    </row>
    <row r="74" spans="3:36" x14ac:dyDescent="0.55000000000000004">
      <c r="C74" s="66" t="str">
        <f>'GAAP feeder'!A30</f>
        <v xml:space="preserve">     Transaction, loan, and consumer receivable losses</v>
      </c>
      <c r="D74" s="69">
        <f>'GAAP feeder'!AA30/1000</f>
        <v>20.395</v>
      </c>
      <c r="E74" s="69">
        <f>'GAAP feeder'!AB30/1000</f>
        <v>48.173000000000002</v>
      </c>
      <c r="F74" s="69">
        <f>'GAAP feeder'!AC30/1000</f>
        <v>62.305999999999997</v>
      </c>
      <c r="G74" s="69">
        <f>'GAAP feeder'!AD30/1000</f>
        <v>57.116999999999997</v>
      </c>
      <c r="H74" s="69">
        <f>'GAAP feeder'!AE30/1000</f>
        <v>91.15</v>
      </c>
      <c r="I74" s="69">
        <f>'GAAP feeder'!AF30/1000</f>
        <v>156.697</v>
      </c>
      <c r="J74" s="69">
        <f>'GAAP feeder'!AG30/1000</f>
        <v>147.58600000000001</v>
      </c>
      <c r="K74" s="69">
        <f>'GAAP feeder'!AH30/1000</f>
        <v>155.25</v>
      </c>
      <c r="L74" s="69">
        <f>'GAAP feeder'!AI30/1000</f>
        <v>127.896</v>
      </c>
      <c r="M74" s="69">
        <f>'GAAP feeder'!AJ30/1000</f>
        <v>179.77099999999999</v>
      </c>
      <c r="N74" s="69">
        <f>'GAAP feeder'!AK30/1000</f>
        <v>177.33799999999999</v>
      </c>
      <c r="O74" s="69">
        <f>'GAAP feeder'!AL30/1000</f>
        <v>175.65799999999999</v>
      </c>
      <c r="P74" s="69">
        <f>'GAAP feeder'!AM30/1000</f>
        <v>165.72900000000001</v>
      </c>
      <c r="Q74" s="69">
        <f>'GAAP feeder'!AN30/1000</f>
        <v>191.81200000000001</v>
      </c>
      <c r="R74" s="191">
        <v>200</v>
      </c>
      <c r="S74" s="69">
        <f>Master!I68-P74-Q74-R74</f>
        <v>222.45899999999995</v>
      </c>
      <c r="T74" s="191">
        <v>200</v>
      </c>
      <c r="U74" s="191">
        <v>215</v>
      </c>
      <c r="V74" s="191">
        <v>225</v>
      </c>
      <c r="W74" s="69">
        <f>Master!J68-T74-U74-V74</f>
        <v>244.66477220071602</v>
      </c>
      <c r="Y74" s="113">
        <f t="shared" ref="Y74:AJ74" si="24">H74/D74-1</f>
        <v>3.4692326550625161</v>
      </c>
      <c r="Z74" s="113">
        <f t="shared" si="24"/>
        <v>2.2527972100554252</v>
      </c>
      <c r="AA74" s="113">
        <f t="shared" si="24"/>
        <v>1.3687285333675732</v>
      </c>
      <c r="AB74" s="113">
        <f t="shared" si="24"/>
        <v>1.7181049424864754</v>
      </c>
      <c r="AC74" s="113">
        <f t="shared" si="24"/>
        <v>0.40313768513439374</v>
      </c>
      <c r="AD74" s="113">
        <f t="shared" si="24"/>
        <v>0.14725234050428515</v>
      </c>
      <c r="AE74" s="113">
        <f t="shared" si="24"/>
        <v>0.2015909368097244</v>
      </c>
      <c r="AF74" s="113">
        <f t="shared" si="24"/>
        <v>0.13145249597423492</v>
      </c>
      <c r="AG74" s="113">
        <f t="shared" si="24"/>
        <v>0.29581065866016143</v>
      </c>
      <c r="AH74" s="113">
        <f t="shared" si="24"/>
        <v>6.69796574530932E-2</v>
      </c>
      <c r="AI74" s="113">
        <f t="shared" si="24"/>
        <v>0.12778987019138599</v>
      </c>
      <c r="AJ74" s="113">
        <f t="shared" si="24"/>
        <v>0.26643249951610493</v>
      </c>
    </row>
    <row r="75" spans="3:36" x14ac:dyDescent="0.55000000000000004">
      <c r="C75" s="66" t="str">
        <f>'GAAP feeder'!A31</f>
        <v xml:space="preserve">     Bitcoin impairment losses</v>
      </c>
      <c r="D75" s="69">
        <f>'GAAP feeder'!AA31/1000</f>
        <v>19.86</v>
      </c>
      <c r="E75" s="69">
        <f>'GAAP feeder'!AB31/1000</f>
        <v>45.265999999999998</v>
      </c>
      <c r="F75" s="69">
        <f>'GAAP feeder'!AC31/1000</f>
        <v>6</v>
      </c>
      <c r="G75" s="69">
        <f>'GAAP feeder'!AD31/1000</f>
        <v>0</v>
      </c>
      <c r="H75" s="69">
        <f>'GAAP feeder'!AE31/1000</f>
        <v>0</v>
      </c>
      <c r="I75" s="69">
        <f>'GAAP feeder'!AF31/1000</f>
        <v>35.960999999999999</v>
      </c>
      <c r="J75" s="69">
        <f>'GAAP feeder'!AG31/1000</f>
        <v>1.619</v>
      </c>
      <c r="K75" s="69">
        <f>'GAAP feeder'!AH31/1000</f>
        <v>8.9909999999999997</v>
      </c>
      <c r="L75" s="69">
        <f>'GAAP feeder'!AI31/1000</f>
        <v>0</v>
      </c>
      <c r="M75" s="69">
        <f>'GAAP feeder'!AJ31/1000</f>
        <v>0</v>
      </c>
      <c r="N75" s="69">
        <f>'GAAP feeder'!AK31/1000</f>
        <v>0</v>
      </c>
      <c r="O75" s="69">
        <f>'GAAP feeder'!AL31/1000</f>
        <v>0</v>
      </c>
      <c r="P75" s="69">
        <f>'GAAP feeder'!AM31/1000</f>
        <v>0</v>
      </c>
      <c r="Q75" s="69">
        <f>'GAAP feeder'!AN31/1000</f>
        <v>0</v>
      </c>
      <c r="R75" s="69"/>
      <c r="S75" s="69"/>
      <c r="T75" s="69"/>
      <c r="U75" s="69"/>
      <c r="V75" s="69"/>
      <c r="W75" s="69"/>
      <c r="Y75" s="113"/>
      <c r="Z75" s="113"/>
      <c r="AA75" s="113"/>
      <c r="AB75" s="113"/>
      <c r="AC75" s="113"/>
      <c r="AD75" s="113"/>
      <c r="AE75" s="113"/>
      <c r="AF75" s="113"/>
      <c r="AG75" s="113"/>
      <c r="AH75" s="113"/>
      <c r="AI75" s="113"/>
      <c r="AJ75" s="113"/>
    </row>
    <row r="76" spans="3:36" x14ac:dyDescent="0.55000000000000004">
      <c r="C76" s="66" t="str">
        <f>'GAAP feeder'!A32</f>
        <v xml:space="preserve">     Amortization of customer and other acquired intangible assets(2)</v>
      </c>
      <c r="D76" s="69">
        <f>'GAAP feeder'!AA32/1000</f>
        <v>2.5569999999999999</v>
      </c>
      <c r="E76" s="69">
        <f>'GAAP feeder'!AB32/1000</f>
        <v>3.802</v>
      </c>
      <c r="F76" s="69">
        <f>'GAAP feeder'!AC32/1000</f>
        <v>4.7629999999999999</v>
      </c>
      <c r="G76" s="69">
        <f>'GAAP feeder'!AD32/1000</f>
        <v>4.625</v>
      </c>
      <c r="H76" s="69">
        <f>'GAAP feeder'!AE32/1000</f>
        <v>26.664000000000001</v>
      </c>
      <c r="I76" s="69">
        <f>'GAAP feeder'!AF32/1000</f>
        <v>39.389000000000003</v>
      </c>
      <c r="J76" s="69">
        <f>'GAAP feeder'!AG32/1000</f>
        <v>37.360999999999997</v>
      </c>
      <c r="K76" s="69">
        <f>'GAAP feeder'!AH32/1000</f>
        <v>35.344000000000001</v>
      </c>
      <c r="L76" s="69">
        <f>'GAAP feeder'!AI32/1000</f>
        <v>37.087000000000003</v>
      </c>
      <c r="M76" s="69">
        <f>'GAAP feeder'!AJ32/1000</f>
        <v>36.865000000000002</v>
      </c>
      <c r="N76" s="69">
        <f>'GAAP feeder'!AK32/1000</f>
        <v>56.965000000000003</v>
      </c>
      <c r="O76" s="69">
        <f>'GAAP feeder'!AL32/1000</f>
        <v>43.127000000000002</v>
      </c>
      <c r="P76" s="69">
        <f>'GAAP feeder'!AM32/1000</f>
        <v>43.281999999999996</v>
      </c>
      <c r="Q76" s="69">
        <f>'GAAP feeder'!AN32/1000</f>
        <v>40.813000000000002</v>
      </c>
      <c r="R76" s="69"/>
      <c r="S76" s="69"/>
      <c r="T76" s="69"/>
      <c r="U76" s="69"/>
      <c r="V76" s="69"/>
      <c r="W76" s="69"/>
      <c r="Y76" s="113">
        <f t="shared" ref="Y76:AJ76" si="25">H76/D76-1</f>
        <v>9.4278451310129068</v>
      </c>
      <c r="Z76" s="113">
        <f t="shared" si="25"/>
        <v>9.3600736454497646</v>
      </c>
      <c r="AA76" s="113">
        <f t="shared" si="25"/>
        <v>6.8440058786479101</v>
      </c>
      <c r="AB76" s="113">
        <f t="shared" si="25"/>
        <v>6.6419459459459462</v>
      </c>
      <c r="AC76" s="113">
        <f t="shared" si="25"/>
        <v>0.39090159015901604</v>
      </c>
      <c r="AD76" s="113">
        <f t="shared" si="25"/>
        <v>-6.4078803726928868E-2</v>
      </c>
      <c r="AE76" s="113">
        <f t="shared" si="25"/>
        <v>0.52471828912502372</v>
      </c>
      <c r="AF76" s="113">
        <f t="shared" si="25"/>
        <v>0.22020710728836579</v>
      </c>
      <c r="AG76" s="113">
        <f t="shared" si="25"/>
        <v>0.16703966349394639</v>
      </c>
      <c r="AH76" s="113">
        <f t="shared" si="25"/>
        <v>0.10709344907093454</v>
      </c>
      <c r="AI76" s="113">
        <f t="shared" si="25"/>
        <v>-1</v>
      </c>
      <c r="AJ76" s="113">
        <f t="shared" si="25"/>
        <v>-1</v>
      </c>
    </row>
    <row r="77" spans="3:36" x14ac:dyDescent="0.55000000000000004">
      <c r="C77" s="67" t="str">
        <f>'GAAP feeder'!A33</f>
        <v xml:space="preserve">          Total operating expenses</v>
      </c>
      <c r="D77" s="86">
        <f>'GAAP feeder'!AA33/1000</f>
        <v>895.76599999999996</v>
      </c>
      <c r="E77" s="86">
        <f>'GAAP feeder'!AB33/1000</f>
        <v>1016.069</v>
      </c>
      <c r="F77" s="86">
        <f>'GAAP feeder'!AC33/1000</f>
        <v>1110.2190000000001</v>
      </c>
      <c r="G77" s="86">
        <f>'GAAP feeder'!AD33/1000</f>
        <v>1236.6569999999999</v>
      </c>
      <c r="H77" s="86">
        <f>'GAAP feeder'!AE33/1000</f>
        <v>1521.749</v>
      </c>
      <c r="I77" s="86">
        <f>'GAAP feeder'!AF33/1000</f>
        <v>1683.421</v>
      </c>
      <c r="J77" s="86">
        <f>'GAAP feeder'!AG33/1000</f>
        <v>1615.8779999999999</v>
      </c>
      <c r="K77" s="86">
        <f>'GAAP feeder'!AH33/1000</f>
        <v>1795.376</v>
      </c>
      <c r="L77" s="86">
        <f>'GAAP feeder'!AI33/1000</f>
        <v>1720.7560000000001</v>
      </c>
      <c r="M77" s="86">
        <f>'GAAP feeder'!AJ33/1000</f>
        <v>1998.2080000000001</v>
      </c>
      <c r="N77" s="86">
        <f>'GAAP feeder'!AK33/1000</f>
        <v>1908.357</v>
      </c>
      <c r="O77" s="86">
        <f>'GAAP feeder'!AL33/1000</f>
        <v>2156.404</v>
      </c>
      <c r="P77" s="86">
        <f>'GAAP feeder'!AM33/1000</f>
        <v>1844.73</v>
      </c>
      <c r="Q77" s="86">
        <f>'GAAP feeder'!AN33/1000</f>
        <v>1926.9179999999999</v>
      </c>
      <c r="R77" s="86">
        <f>R60-R80</f>
        <v>2009.798224142593</v>
      </c>
      <c r="S77" s="86">
        <f>Master!I71-P77-Q77-R77</f>
        <v>2088.8562646202749</v>
      </c>
      <c r="T77" s="86">
        <f>T60-T80</f>
        <v>2028.4034927343514</v>
      </c>
      <c r="U77" s="86">
        <f>U60-U80</f>
        <v>2136.4040192004213</v>
      </c>
      <c r="V77" s="86">
        <f>V60-V80</f>
        <v>2083.1657651478508</v>
      </c>
      <c r="W77" s="86">
        <f>W60-W80</f>
        <v>2216.9814536853628</v>
      </c>
      <c r="Y77" s="109">
        <f t="shared" ref="Y77:AF77" si="26">H77/D77-1</f>
        <v>0.69882424651080766</v>
      </c>
      <c r="Z77" s="109">
        <f t="shared" si="26"/>
        <v>0.65679791431487433</v>
      </c>
      <c r="AA77" s="109">
        <f t="shared" si="26"/>
        <v>0.45545878786077321</v>
      </c>
      <c r="AB77" s="109">
        <f t="shared" si="26"/>
        <v>0.45179787119629777</v>
      </c>
      <c r="AC77" s="109">
        <f t="shared" si="26"/>
        <v>0.13077518040097291</v>
      </c>
      <c r="AD77" s="109">
        <f t="shared" si="26"/>
        <v>0.18699243979966984</v>
      </c>
      <c r="AE77" s="109">
        <f t="shared" si="26"/>
        <v>0.18100314503941517</v>
      </c>
      <c r="AF77" s="109">
        <f t="shared" si="26"/>
        <v>0.20108768302572844</v>
      </c>
      <c r="AG77" s="109">
        <f t="shared" ref="AG77:AH80" si="27">P77/L77-1</f>
        <v>7.2046240140961171E-2</v>
      </c>
      <c r="AH77" s="109">
        <f t="shared" si="27"/>
        <v>-3.5676966562039669E-2</v>
      </c>
      <c r="AI77" s="109">
        <f>R77/N77-1</f>
        <v>5.3156314118685932E-2</v>
      </c>
      <c r="AJ77" s="109">
        <f>S77/O77-1</f>
        <v>-3.1324248786278042E-2</v>
      </c>
    </row>
    <row r="78" spans="3:36" x14ac:dyDescent="0.55000000000000004">
      <c r="C78" s="66" t="s">
        <v>677</v>
      </c>
      <c r="D78" s="134">
        <f t="shared" ref="D78:W78" si="28">D77/D60</f>
        <v>0.92970005189413596</v>
      </c>
      <c r="E78" s="134">
        <f t="shared" si="28"/>
        <v>0.89045672244788854</v>
      </c>
      <c r="F78" s="134">
        <f t="shared" si="28"/>
        <v>0.97970729296735404</v>
      </c>
      <c r="G78" s="134">
        <f t="shared" si="28"/>
        <v>1.0462039419919089</v>
      </c>
      <c r="H78" s="134">
        <f t="shared" si="28"/>
        <v>1.1751320504108236</v>
      </c>
      <c r="I78" s="134">
        <f t="shared" si="28"/>
        <v>1.1454586404363496</v>
      </c>
      <c r="J78" s="134">
        <f t="shared" si="28"/>
        <v>1.0311335220909597</v>
      </c>
      <c r="K78" s="134">
        <f t="shared" si="28"/>
        <v>1.0814247723911949</v>
      </c>
      <c r="L78" s="134">
        <f t="shared" si="28"/>
        <v>1.0035997069843181</v>
      </c>
      <c r="M78" s="134">
        <f t="shared" si="28"/>
        <v>1.0707930599683511</v>
      </c>
      <c r="N78" s="134">
        <f t="shared" si="28"/>
        <v>1.0052189971919181</v>
      </c>
      <c r="O78" s="134">
        <f t="shared" si="28"/>
        <v>1.0644955552308477</v>
      </c>
      <c r="P78" s="134">
        <f t="shared" si="28"/>
        <v>0.88076093604453243</v>
      </c>
      <c r="Q78" s="134">
        <f>Q77/Q60</f>
        <v>0.86274244676469003</v>
      </c>
      <c r="R78" s="134">
        <f t="shared" si="28"/>
        <v>0.89771297943221229</v>
      </c>
      <c r="S78" s="134">
        <f t="shared" si="28"/>
        <v>0.89625183984963952</v>
      </c>
      <c r="T78" s="134">
        <f t="shared" si="28"/>
        <v>0.85807256862496473</v>
      </c>
      <c r="U78" s="134">
        <f t="shared" si="28"/>
        <v>0.83518366819281953</v>
      </c>
      <c r="V78" s="134">
        <f t="shared" si="28"/>
        <v>0.81522035207884114</v>
      </c>
      <c r="W78" s="134">
        <f t="shared" si="28"/>
        <v>0.82469419717351267</v>
      </c>
      <c r="Y78" s="109"/>
      <c r="Z78" s="109"/>
      <c r="AA78" s="109"/>
      <c r="AB78" s="109"/>
      <c r="AC78" s="109"/>
      <c r="AD78" s="109"/>
      <c r="AE78" s="109"/>
      <c r="AF78" s="109"/>
      <c r="AG78" s="109"/>
      <c r="AH78" s="109"/>
      <c r="AI78" s="109"/>
      <c r="AJ78" s="109"/>
    </row>
    <row r="79" spans="3:36" x14ac:dyDescent="0.55000000000000004">
      <c r="C79" s="67"/>
      <c r="D79" s="86"/>
      <c r="E79" s="86"/>
      <c r="F79" s="86"/>
      <c r="G79" s="86"/>
      <c r="H79" s="86"/>
      <c r="I79" s="86"/>
      <c r="J79" s="86"/>
      <c r="K79" s="86"/>
      <c r="L79" s="86"/>
      <c r="M79" s="86"/>
      <c r="N79" s="86"/>
      <c r="O79" s="86"/>
      <c r="P79" s="86"/>
      <c r="Q79" s="86"/>
      <c r="R79" s="86"/>
      <c r="S79" s="86"/>
      <c r="T79" s="86"/>
      <c r="U79" s="86"/>
      <c r="V79" s="86"/>
      <c r="W79" s="86"/>
      <c r="Y79" s="109"/>
      <c r="Z79" s="109"/>
      <c r="AA79" s="109"/>
      <c r="AB79" s="109"/>
      <c r="AC79" s="109"/>
      <c r="AD79" s="109"/>
      <c r="AE79" s="109"/>
      <c r="AF79" s="109"/>
      <c r="AG79" s="109"/>
      <c r="AH79" s="109"/>
      <c r="AI79" s="109"/>
      <c r="AJ79" s="109"/>
    </row>
    <row r="80" spans="3:36" x14ac:dyDescent="0.55000000000000004">
      <c r="C80" s="67" t="str">
        <f>'GAAP feeder'!A34</f>
        <v xml:space="preserve">          Operating income (loss)</v>
      </c>
      <c r="D80" s="86">
        <f>'GAAP feeder'!AA34/1000</f>
        <v>67.733999999999995</v>
      </c>
      <c r="E80" s="86">
        <f>'GAAP feeder'!AB34/1000</f>
        <v>124.996</v>
      </c>
      <c r="F80" s="86">
        <f>'GAAP feeder'!AC34/1000</f>
        <v>22.995999999999999</v>
      </c>
      <c r="G80" s="86">
        <f>'GAAP feeder'!AD34/1000</f>
        <v>-54.615000000000002</v>
      </c>
      <c r="H80" s="86">
        <f>'GAAP feeder'!AE34/1000</f>
        <v>-226.78899999999999</v>
      </c>
      <c r="I80" s="86">
        <f>'GAAP feeder'!AF34/1000</f>
        <v>-213.773</v>
      </c>
      <c r="J80" s="86">
        <f>'GAAP feeder'!AG34/1000</f>
        <v>-48.789000000000001</v>
      </c>
      <c r="K80" s="86">
        <f>'GAAP feeder'!AH34/1000</f>
        <v>-135.18100000000001</v>
      </c>
      <c r="L80" s="86">
        <f>'GAAP feeder'!AI34/1000</f>
        <v>-6.1719999999999997</v>
      </c>
      <c r="M80" s="86">
        <f>'GAAP feeder'!AJ34/1000</f>
        <v>-132.107</v>
      </c>
      <c r="N80" s="86">
        <f>'GAAP feeder'!AK34/1000</f>
        <v>-9.9079999999999995</v>
      </c>
      <c r="O80" s="86">
        <f>'GAAP feeder'!AL34/1000</f>
        <v>-130.65199999999999</v>
      </c>
      <c r="P80" s="86">
        <f>'GAAP feeder'!AM34/1000</f>
        <v>249.74299999999999</v>
      </c>
      <c r="Q80" s="86">
        <f>'GAAP feeder'!AN34/1000</f>
        <v>306.56200000000001</v>
      </c>
      <c r="R80" s="86">
        <f>R93-R92</f>
        <v>229</v>
      </c>
      <c r="S80" s="86">
        <f>Master!I74-P80-Q80-R80</f>
        <v>241.80144981266164</v>
      </c>
      <c r="T80" s="86">
        <f>T93-T92</f>
        <v>335.5032057221747</v>
      </c>
      <c r="U80" s="86">
        <f>U93-U92</f>
        <v>421.60100480010533</v>
      </c>
      <c r="V80" s="86">
        <f>V93-V92</f>
        <v>472.17495940067579</v>
      </c>
      <c r="W80" s="86">
        <f>W93-W92</f>
        <v>471.26524585933907</v>
      </c>
      <c r="Y80" s="113">
        <f t="shared" ref="Y80:AF80" si="29">H80/D80-1</f>
        <v>-4.3482298402574777</v>
      </c>
      <c r="Z80" s="113">
        <f t="shared" si="29"/>
        <v>-2.7102387276392843</v>
      </c>
      <c r="AA80" s="113">
        <f t="shared" si="29"/>
        <v>-3.1216298486693339</v>
      </c>
      <c r="AB80" s="113">
        <f t="shared" si="29"/>
        <v>1.4751625011443745</v>
      </c>
      <c r="AC80" s="113">
        <f t="shared" si="29"/>
        <v>-0.97278527618182542</v>
      </c>
      <c r="AD80" s="113">
        <f t="shared" si="29"/>
        <v>-0.3820220514283843</v>
      </c>
      <c r="AE80" s="113">
        <f t="shared" si="29"/>
        <v>-0.79692143720920705</v>
      </c>
      <c r="AF80" s="113">
        <f t="shared" si="29"/>
        <v>-3.3503229004076207E-2</v>
      </c>
      <c r="AG80" s="113">
        <f t="shared" si="27"/>
        <v>-41.463869086195722</v>
      </c>
      <c r="AH80" s="113">
        <f t="shared" si="27"/>
        <v>-3.3205583352888191</v>
      </c>
      <c r="AI80" s="113">
        <f>R80/N80-1</f>
        <v>-24.1126362535325</v>
      </c>
      <c r="AJ80" s="113">
        <f>S80/O80-1</f>
        <v>-2.8507290344783218</v>
      </c>
    </row>
    <row r="81" spans="3:36" x14ac:dyDescent="0.55000000000000004">
      <c r="C81" s="67" t="s">
        <v>618</v>
      </c>
      <c r="D81" s="180">
        <f t="shared" ref="D81:W81" si="30">D80/D60</f>
        <v>7.0299948105864027E-2</v>
      </c>
      <c r="E81" s="180">
        <f t="shared" si="30"/>
        <v>0.10954327755211139</v>
      </c>
      <c r="F81" s="180">
        <f t="shared" si="30"/>
        <v>2.0292707032646056E-2</v>
      </c>
      <c r="G81" s="180">
        <f t="shared" si="30"/>
        <v>-4.6203941991908921E-2</v>
      </c>
      <c r="H81" s="180">
        <f t="shared" si="30"/>
        <v>-0.1751320504108235</v>
      </c>
      <c r="I81" s="180">
        <f t="shared" si="30"/>
        <v>-0.1454586404363494</v>
      </c>
      <c r="J81" s="180">
        <f t="shared" si="30"/>
        <v>-3.1133522090959737E-2</v>
      </c>
      <c r="K81" s="180">
        <f t="shared" si="30"/>
        <v>-8.1424772391195027E-2</v>
      </c>
      <c r="L81" s="180">
        <f t="shared" si="30"/>
        <v>-3.5997069843180618E-3</v>
      </c>
      <c r="M81" s="180">
        <f t="shared" si="30"/>
        <v>-7.0793059968351113E-2</v>
      </c>
      <c r="N81" s="180">
        <f t="shared" si="30"/>
        <v>-5.2189971919182447E-3</v>
      </c>
      <c r="O81" s="180">
        <f t="shared" si="30"/>
        <v>-6.4495555230847601E-2</v>
      </c>
      <c r="P81" s="180">
        <f t="shared" si="30"/>
        <v>0.11923906395546756</v>
      </c>
      <c r="Q81" s="180">
        <f>Q80/Q60</f>
        <v>0.13725755323530991</v>
      </c>
      <c r="R81" s="180">
        <f t="shared" si="30"/>
        <v>0.10228702056778771</v>
      </c>
      <c r="S81" s="180">
        <f t="shared" si="30"/>
        <v>0.10374816015036059</v>
      </c>
      <c r="T81" s="180">
        <f t="shared" si="30"/>
        <v>0.14192743137503522</v>
      </c>
      <c r="U81" s="180">
        <f t="shared" si="30"/>
        <v>0.16481633180718042</v>
      </c>
      <c r="V81" s="180">
        <f t="shared" si="30"/>
        <v>0.18477964792115889</v>
      </c>
      <c r="W81" s="180">
        <f t="shared" si="30"/>
        <v>0.17530580282648744</v>
      </c>
      <c r="Y81" s="113"/>
      <c r="Z81" s="113"/>
      <c r="AA81" s="113"/>
      <c r="AB81" s="113"/>
      <c r="AC81" s="113"/>
      <c r="AD81" s="113"/>
      <c r="AE81" s="113"/>
      <c r="AF81" s="113"/>
      <c r="AG81" s="113"/>
      <c r="AH81" s="113"/>
      <c r="AI81" s="113"/>
      <c r="AJ81" s="113"/>
    </row>
    <row r="82" spans="3:36" x14ac:dyDescent="0.55000000000000004">
      <c r="C82" s="67"/>
      <c r="D82" s="180"/>
      <c r="E82" s="180"/>
      <c r="F82" s="180"/>
      <c r="G82" s="180"/>
      <c r="H82" s="180"/>
      <c r="I82" s="180"/>
      <c r="J82" s="180"/>
      <c r="K82" s="180"/>
      <c r="L82" s="180"/>
      <c r="M82" s="180"/>
      <c r="N82" s="180"/>
      <c r="O82" s="180"/>
      <c r="P82" s="180"/>
      <c r="Q82" s="180"/>
      <c r="R82" s="180"/>
      <c r="S82" s="180"/>
      <c r="T82" s="180"/>
      <c r="U82" s="180"/>
      <c r="V82" s="180"/>
      <c r="W82" s="180"/>
      <c r="Y82" s="113"/>
      <c r="Z82" s="113"/>
      <c r="AA82" s="113"/>
      <c r="AB82" s="113"/>
      <c r="AC82" s="113"/>
      <c r="AD82" s="113"/>
      <c r="AE82" s="113"/>
      <c r="AF82" s="113"/>
      <c r="AG82" s="113"/>
      <c r="AH82" s="113"/>
      <c r="AI82" s="113"/>
      <c r="AJ82" s="113"/>
    </row>
    <row r="83" spans="3:36" x14ac:dyDescent="0.55000000000000004">
      <c r="C83" s="67" t="s">
        <v>684</v>
      </c>
      <c r="D83" s="180"/>
      <c r="E83" s="180"/>
      <c r="F83" s="180"/>
      <c r="G83" s="180"/>
      <c r="H83" s="180"/>
      <c r="I83" s="180"/>
      <c r="J83" s="180"/>
      <c r="K83" s="180"/>
      <c r="L83" s="180"/>
      <c r="M83" s="180"/>
      <c r="N83" s="180"/>
      <c r="O83" s="180"/>
      <c r="P83" s="180"/>
      <c r="Q83" s="180"/>
      <c r="R83" s="180"/>
      <c r="S83" s="180"/>
      <c r="T83" s="180"/>
      <c r="U83" s="180"/>
      <c r="V83" s="180"/>
      <c r="W83" s="180"/>
      <c r="Y83" s="113"/>
      <c r="Z83" s="113"/>
      <c r="AA83" s="113"/>
      <c r="AB83" s="113"/>
      <c r="AC83" s="113"/>
      <c r="AD83" s="113"/>
      <c r="AE83" s="113"/>
      <c r="AF83" s="113"/>
      <c r="AG83" s="113"/>
      <c r="AH83" s="113"/>
      <c r="AI83" s="113"/>
      <c r="AJ83" s="113"/>
    </row>
    <row r="84" spans="3:36" x14ac:dyDescent="0.55000000000000004">
      <c r="C84" s="66" t="str">
        <f>'Non GAAP feeder'!A128</f>
        <v xml:space="preserve">     Amortization of acquired technology assets(3)</v>
      </c>
      <c r="D84" s="180"/>
      <c r="E84" s="180"/>
      <c r="F84" s="180"/>
      <c r="G84" s="180"/>
      <c r="H84" s="197">
        <f>'Non GAAP feeder'!AE128/1000</f>
        <v>15.468999999999999</v>
      </c>
      <c r="I84" s="197">
        <f>'Non GAAP feeder'!AF128/1000</f>
        <v>17.899000000000001</v>
      </c>
      <c r="J84" s="197">
        <f>'Non GAAP feeder'!AG128/1000</f>
        <v>18.506</v>
      </c>
      <c r="K84" s="197">
        <f>'Non GAAP feeder'!AH128/1000</f>
        <v>18.32</v>
      </c>
      <c r="L84" s="197">
        <f>'Non GAAP feeder'!AI128/1000</f>
        <v>18.507999999999999</v>
      </c>
      <c r="M84" s="197">
        <f>'Non GAAP feeder'!AJ128/1000</f>
        <v>18.391999999999999</v>
      </c>
      <c r="N84" s="197">
        <f>'Non GAAP feeder'!AK128/1000</f>
        <v>17.88</v>
      </c>
      <c r="O84" s="197">
        <f>'Non GAAP feeder'!AL128/1000</f>
        <v>18.048999999999999</v>
      </c>
      <c r="P84" s="197">
        <f>'Non GAAP feeder'!AM128/1000</f>
        <v>18.027000000000001</v>
      </c>
      <c r="Q84" s="197">
        <f>'Non GAAP feeder'!AN128/1000</f>
        <v>17.588999999999999</v>
      </c>
      <c r="R84" s="191">
        <v>18</v>
      </c>
      <c r="S84" s="197">
        <f>Master!I78-P84-Q84-R84</f>
        <v>18.384</v>
      </c>
      <c r="T84" s="180"/>
      <c r="U84" s="180"/>
      <c r="V84" s="180"/>
      <c r="W84" s="180"/>
      <c r="Y84" s="113"/>
      <c r="Z84" s="113"/>
      <c r="AA84" s="113"/>
      <c r="AB84" s="113"/>
      <c r="AC84" s="113"/>
      <c r="AD84" s="113"/>
      <c r="AE84" s="113"/>
      <c r="AF84" s="113"/>
      <c r="AG84" s="113"/>
      <c r="AH84" s="113"/>
      <c r="AI84" s="113"/>
      <c r="AJ84" s="113"/>
    </row>
    <row r="85" spans="3:36" x14ac:dyDescent="0.55000000000000004">
      <c r="C85" s="66" t="str">
        <f>'Non GAAP feeder'!A129</f>
        <v xml:space="preserve">     Acquisition-related and integration costs</v>
      </c>
      <c r="D85" s="180"/>
      <c r="E85" s="180"/>
      <c r="F85" s="180"/>
      <c r="G85" s="180"/>
      <c r="H85" s="197">
        <f>'Non GAAP feeder'!AE129/1000</f>
        <v>76.064999999999998</v>
      </c>
      <c r="I85" s="197">
        <f>'Non GAAP feeder'!AF129/1000</f>
        <v>17.067</v>
      </c>
      <c r="J85" s="197">
        <f>'Non GAAP feeder'!AG129/1000</f>
        <v>23.47</v>
      </c>
      <c r="K85" s="197">
        <f>'Non GAAP feeder'!AH129/1000</f>
        <v>40.661999999999999</v>
      </c>
      <c r="L85" s="197">
        <f>'Non GAAP feeder'!AI129/1000</f>
        <v>1.5509999999999999</v>
      </c>
      <c r="M85" s="197">
        <f>'Non GAAP feeder'!AJ129/1000</f>
        <v>102.349</v>
      </c>
      <c r="N85" s="197">
        <f>'Non GAAP feeder'!AK129/1000</f>
        <v>24.812000000000001</v>
      </c>
      <c r="O85" s="197">
        <f>'Non GAAP feeder'!AL129/1000</f>
        <v>5.1180000000000003</v>
      </c>
      <c r="P85" s="197">
        <f>'Non GAAP feeder'!AM129/1000</f>
        <v>32.512</v>
      </c>
      <c r="Q85" s="197">
        <f>'Non GAAP feeder'!AN129/1000</f>
        <v>15.35</v>
      </c>
      <c r="R85" s="191">
        <v>20</v>
      </c>
      <c r="S85" s="197">
        <f>Master!I79-P85-Q85-R85</f>
        <v>32.137999999999998</v>
      </c>
      <c r="T85" s="180"/>
      <c r="U85" s="180"/>
      <c r="V85" s="180"/>
      <c r="W85" s="180"/>
      <c r="Y85" s="113"/>
      <c r="Z85" s="113"/>
      <c r="AA85" s="113"/>
      <c r="AB85" s="113"/>
      <c r="AC85" s="113"/>
      <c r="AD85" s="113"/>
      <c r="AE85" s="113"/>
      <c r="AF85" s="113"/>
      <c r="AG85" s="113"/>
      <c r="AH85" s="113"/>
      <c r="AI85" s="113"/>
      <c r="AJ85" s="113"/>
    </row>
    <row r="86" spans="3:36" x14ac:dyDescent="0.55000000000000004">
      <c r="C86" s="66" t="str">
        <f>'Non GAAP feeder'!A130</f>
        <v xml:space="preserve">     Restructuring and other charges</v>
      </c>
      <c r="D86" s="180"/>
      <c r="E86" s="180"/>
      <c r="F86" s="180"/>
      <c r="G86" s="180"/>
      <c r="H86" s="197">
        <f>'Non GAAP feeder'!AE130/1000</f>
        <v>0</v>
      </c>
      <c r="I86" s="197">
        <f>'Non GAAP feeder'!AF130/1000</f>
        <v>0</v>
      </c>
      <c r="J86" s="197">
        <f>'Non GAAP feeder'!AG130/1000</f>
        <v>0</v>
      </c>
      <c r="K86" s="197">
        <f>'Non GAAP feeder'!AH130/1000</f>
        <v>0</v>
      </c>
      <c r="L86" s="197">
        <f>'Non GAAP feeder'!AI130/1000</f>
        <v>0</v>
      </c>
      <c r="M86" s="197">
        <f>'Non GAAP feeder'!AJ130/1000</f>
        <v>0</v>
      </c>
      <c r="N86" s="197">
        <f>'Non GAAP feeder'!AK130/1000</f>
        <v>0</v>
      </c>
      <c r="O86" s="197">
        <f>'Non GAAP feeder'!AL130/1000</f>
        <v>117.17400000000001</v>
      </c>
      <c r="P86" s="197">
        <f>'Non GAAP feeder'!AM130/1000</f>
        <v>14.063000000000001</v>
      </c>
      <c r="Q86" s="197">
        <f>'Non GAAP feeder'!AN130/1000</f>
        <v>18.803999999999998</v>
      </c>
      <c r="R86" s="191">
        <v>10</v>
      </c>
      <c r="S86" s="197">
        <f>Master!I80-P86-Q86-R86</f>
        <v>2.1329999999999991</v>
      </c>
      <c r="T86" s="180"/>
      <c r="U86" s="180"/>
      <c r="V86" s="180"/>
      <c r="W86" s="180"/>
      <c r="Y86" s="113"/>
      <c r="Z86" s="113"/>
      <c r="AA86" s="113"/>
      <c r="AB86" s="113"/>
      <c r="AC86" s="113"/>
      <c r="AD86" s="113"/>
      <c r="AE86" s="113"/>
      <c r="AF86" s="113"/>
      <c r="AG86" s="113"/>
      <c r="AH86" s="113"/>
      <c r="AI86" s="113"/>
      <c r="AJ86" s="113"/>
    </row>
    <row r="87" spans="3:36" x14ac:dyDescent="0.55000000000000004">
      <c r="C87" s="66" t="str">
        <f>'Non GAAP feeder'!A131</f>
        <v xml:space="preserve">     Restructuring share-based compensation</v>
      </c>
      <c r="D87" s="180"/>
      <c r="E87" s="180"/>
      <c r="F87" s="180"/>
      <c r="G87" s="180"/>
      <c r="H87" s="197">
        <f>'Non GAAP feeder'!AE131/1000</f>
        <v>0</v>
      </c>
      <c r="I87" s="197">
        <f>'Non GAAP feeder'!AF131/1000</f>
        <v>0</v>
      </c>
      <c r="J87" s="197">
        <f>'Non GAAP feeder'!AG131/1000</f>
        <v>0</v>
      </c>
      <c r="K87" s="197">
        <f>'Non GAAP feeder'!AH131/1000</f>
        <v>0</v>
      </c>
      <c r="L87" s="197">
        <f>'Non GAAP feeder'!AI131/1000</f>
        <v>0</v>
      </c>
      <c r="M87" s="197">
        <f>'Non GAAP feeder'!AJ131/1000</f>
        <v>0</v>
      </c>
      <c r="N87" s="197">
        <f>'Non GAAP feeder'!AK131/1000</f>
        <v>0</v>
      </c>
      <c r="O87" s="197">
        <f>'Non GAAP feeder'!AL131/1000</f>
        <v>0</v>
      </c>
      <c r="P87" s="197">
        <f>'Non GAAP feeder'!AM131/1000</f>
        <v>6.6369999999999996</v>
      </c>
      <c r="Q87" s="197">
        <f>'Non GAAP feeder'!AN131/1000</f>
        <v>0</v>
      </c>
      <c r="R87" s="191">
        <v>0</v>
      </c>
      <c r="S87" s="197">
        <f>Master!I81-P87-Q87-R87</f>
        <v>5.3630000000000004</v>
      </c>
      <c r="T87" s="180"/>
      <c r="U87" s="180"/>
      <c r="V87" s="180"/>
      <c r="W87" s="180"/>
      <c r="Y87" s="113"/>
      <c r="Z87" s="113"/>
      <c r="AA87" s="113"/>
      <c r="AB87" s="113"/>
      <c r="AC87" s="113"/>
      <c r="AD87" s="113"/>
      <c r="AE87" s="113"/>
      <c r="AF87" s="113"/>
      <c r="AG87" s="113"/>
      <c r="AH87" s="113"/>
      <c r="AI87" s="113"/>
      <c r="AJ87" s="113"/>
    </row>
    <row r="88" spans="3:36" x14ac:dyDescent="0.55000000000000004">
      <c r="C88" s="66" t="str">
        <f>'Non GAAP feeder'!A132</f>
        <v xml:space="preserve">     Goodwill impairment</v>
      </c>
      <c r="D88" s="180"/>
      <c r="E88" s="180"/>
      <c r="F88" s="180"/>
      <c r="G88" s="180"/>
      <c r="H88" s="197">
        <f>'Non GAAP feeder'!AE132/1000</f>
        <v>0</v>
      </c>
      <c r="I88" s="197">
        <f>'Non GAAP feeder'!AF132/1000</f>
        <v>0</v>
      </c>
      <c r="J88" s="197">
        <f>'Non GAAP feeder'!AG132/1000</f>
        <v>0</v>
      </c>
      <c r="K88" s="197">
        <f>'Non GAAP feeder'!AH132/1000</f>
        <v>0</v>
      </c>
      <c r="L88" s="197">
        <f>'Non GAAP feeder'!AI132/1000</f>
        <v>0</v>
      </c>
      <c r="M88" s="197">
        <f>'Non GAAP feeder'!AJ132/1000</f>
        <v>0</v>
      </c>
      <c r="N88" s="197">
        <f>'Non GAAP feeder'!AK132/1000</f>
        <v>0</v>
      </c>
      <c r="O88" s="197">
        <f>'Non GAAP feeder'!AL132/1000</f>
        <v>132.31299999999999</v>
      </c>
      <c r="P88" s="197">
        <f>'Non GAAP feeder'!AM132/1000</f>
        <v>0</v>
      </c>
      <c r="Q88" s="197">
        <f>'Non GAAP feeder'!AN132/1000</f>
        <v>0</v>
      </c>
      <c r="R88" s="191">
        <f>'Non GAAP feeder'!AP132/1000</f>
        <v>0</v>
      </c>
      <c r="S88" s="197">
        <f>Master!I82-P88-Q88-R88</f>
        <v>0</v>
      </c>
      <c r="T88" s="180"/>
      <c r="U88" s="180"/>
      <c r="V88" s="180"/>
      <c r="W88" s="180"/>
      <c r="Y88" s="113"/>
      <c r="Z88" s="113"/>
      <c r="AA88" s="113"/>
      <c r="AB88" s="113"/>
      <c r="AC88" s="113"/>
      <c r="AD88" s="113"/>
      <c r="AE88" s="113"/>
      <c r="AF88" s="113"/>
      <c r="AG88" s="113"/>
      <c r="AH88" s="113"/>
      <c r="AI88" s="113"/>
      <c r="AJ88" s="113"/>
    </row>
    <row r="89" spans="3:36" x14ac:dyDescent="0.55000000000000004">
      <c r="C89" s="66" t="str">
        <f>'Non GAAP feeder'!A133</f>
        <v xml:space="preserve">     Bitcoin impairment losses</v>
      </c>
      <c r="D89" s="180"/>
      <c r="E89" s="180"/>
      <c r="F89" s="180"/>
      <c r="G89" s="180"/>
      <c r="H89" s="197">
        <f>'Non GAAP feeder'!AE133/1000</f>
        <v>0</v>
      </c>
      <c r="I89" s="197">
        <f>'Non GAAP feeder'!AF133/1000</f>
        <v>35.960999999999999</v>
      </c>
      <c r="J89" s="197">
        <f>'Non GAAP feeder'!AG133/1000</f>
        <v>1.619</v>
      </c>
      <c r="K89" s="197">
        <f>'Non GAAP feeder'!AH133/1000</f>
        <v>8.9909999999999997</v>
      </c>
      <c r="L89" s="197">
        <f>'Non GAAP feeder'!AI133/1000</f>
        <v>0</v>
      </c>
      <c r="M89" s="197">
        <f>'Non GAAP feeder'!AJ133/1000</f>
        <v>0</v>
      </c>
      <c r="N89" s="197">
        <f>'Non GAAP feeder'!AK133/1000</f>
        <v>0</v>
      </c>
      <c r="O89" s="197">
        <f>'Non GAAP feeder'!AL133/1000</f>
        <v>0</v>
      </c>
      <c r="P89" s="197">
        <f>'Non GAAP feeder'!AM133/1000</f>
        <v>0</v>
      </c>
      <c r="Q89" s="197">
        <f>'Non GAAP feeder'!AN133/1000</f>
        <v>0</v>
      </c>
      <c r="R89" s="191">
        <f>'Non GAAP feeder'!AP133/1000</f>
        <v>0</v>
      </c>
      <c r="S89" s="197">
        <f>Master!I83-P89-Q89-R89</f>
        <v>0</v>
      </c>
      <c r="T89" s="180"/>
      <c r="U89" s="180"/>
      <c r="V89" s="180"/>
      <c r="W89" s="180"/>
      <c r="Y89" s="113"/>
      <c r="Z89" s="113"/>
      <c r="AA89" s="113"/>
      <c r="AB89" s="113"/>
      <c r="AC89" s="113"/>
      <c r="AD89" s="113"/>
      <c r="AE89" s="113"/>
      <c r="AF89" s="113"/>
      <c r="AG89" s="113"/>
      <c r="AH89" s="113"/>
      <c r="AI89" s="113"/>
      <c r="AJ89" s="113"/>
    </row>
    <row r="90" spans="3:36" x14ac:dyDescent="0.55000000000000004">
      <c r="C90" s="66" t="str">
        <f>'Non GAAP feeder'!A134</f>
        <v xml:space="preserve">     Amortization of customer and other acquired intangible assets(4)</v>
      </c>
      <c r="D90" s="180"/>
      <c r="E90" s="180"/>
      <c r="F90" s="180"/>
      <c r="G90" s="180"/>
      <c r="H90" s="197">
        <f>'Non GAAP feeder'!AE134/1000</f>
        <v>26.664000000000001</v>
      </c>
      <c r="I90" s="197">
        <f>'Non GAAP feeder'!AF134/1000</f>
        <v>39.389000000000003</v>
      </c>
      <c r="J90" s="197">
        <f>'Non GAAP feeder'!AG134/1000</f>
        <v>37.360999999999997</v>
      </c>
      <c r="K90" s="197">
        <f>'Non GAAP feeder'!AH134/1000</f>
        <v>35.344000000000001</v>
      </c>
      <c r="L90" s="197">
        <f>'Non GAAP feeder'!AI134/1000</f>
        <v>37.087000000000003</v>
      </c>
      <c r="M90" s="197">
        <f>'Non GAAP feeder'!AJ134/1000</f>
        <v>36.865000000000002</v>
      </c>
      <c r="N90" s="197">
        <f>'Non GAAP feeder'!AK134/1000</f>
        <v>56.965000000000003</v>
      </c>
      <c r="O90" s="197">
        <f>'Non GAAP feeder'!AL134/1000</f>
        <v>43.127000000000002</v>
      </c>
      <c r="P90" s="197">
        <f>'Non GAAP feeder'!AM134/1000</f>
        <v>43.281999999999996</v>
      </c>
      <c r="Q90" s="197">
        <f>'Non GAAP feeder'!AN134/1000</f>
        <v>40.813000000000002</v>
      </c>
      <c r="R90" s="191">
        <v>53</v>
      </c>
      <c r="S90" s="197">
        <f>Master!I84-P90-Q90-R90</f>
        <v>52.905000000000015</v>
      </c>
      <c r="T90" s="180"/>
      <c r="U90" s="180"/>
      <c r="V90" s="180"/>
      <c r="W90" s="180"/>
      <c r="Y90" s="113"/>
      <c r="Z90" s="113"/>
      <c r="AA90" s="113"/>
      <c r="AB90" s="113"/>
      <c r="AC90" s="113"/>
      <c r="AD90" s="113"/>
      <c r="AE90" s="113"/>
      <c r="AF90" s="113"/>
      <c r="AG90" s="113"/>
      <c r="AH90" s="113"/>
      <c r="AI90" s="113"/>
      <c r="AJ90" s="113"/>
    </row>
    <row r="91" spans="3:36" x14ac:dyDescent="0.55000000000000004">
      <c r="C91" s="87" t="str">
        <f>'Non GAAP feeder'!A135</f>
        <v xml:space="preserve">     Acquisition-related share-based acceleration costs</v>
      </c>
      <c r="D91" s="215"/>
      <c r="E91" s="215"/>
      <c r="F91" s="215"/>
      <c r="G91" s="215"/>
      <c r="H91" s="216">
        <f>'Non GAAP feeder'!AE135/1000</f>
        <v>66.337000000000003</v>
      </c>
      <c r="I91" s="216">
        <f>'Non GAAP feeder'!AF135/1000</f>
        <v>0</v>
      </c>
      <c r="J91" s="216">
        <f>'Non GAAP feeder'!AG135/1000</f>
        <v>0</v>
      </c>
      <c r="K91" s="216">
        <f>'Non GAAP feeder'!AH135/1000</f>
        <v>0</v>
      </c>
      <c r="L91" s="216">
        <f>'Non GAAP feeder'!AI135/1000</f>
        <v>0</v>
      </c>
      <c r="M91" s="216">
        <f>'Non GAAP feeder'!AJ135/1000</f>
        <v>0</v>
      </c>
      <c r="N91" s="216">
        <f>'Non GAAP feeder'!AK135/1000</f>
        <v>0</v>
      </c>
      <c r="O91" s="216">
        <f>'Non GAAP feeder'!AL135/1000</f>
        <v>0</v>
      </c>
      <c r="P91" s="216">
        <f>'Non GAAP feeder'!AM135/1000</f>
        <v>0</v>
      </c>
      <c r="Q91" s="216">
        <f>'Non GAAP feeder'!AN135/1000</f>
        <v>0</v>
      </c>
      <c r="R91" s="232">
        <v>0</v>
      </c>
      <c r="S91" s="216">
        <f>Master!I85-P91-Q91-R91</f>
        <v>0</v>
      </c>
      <c r="T91" s="215"/>
      <c r="U91" s="215"/>
      <c r="V91" s="215"/>
      <c r="W91" s="215"/>
      <c r="Y91" s="113"/>
      <c r="Z91" s="113"/>
      <c r="AA91" s="113"/>
      <c r="AB91" s="113"/>
      <c r="AC91" s="113"/>
      <c r="AD91" s="113"/>
      <c r="AE91" s="113"/>
      <c r="AF91" s="113"/>
      <c r="AG91" s="113"/>
      <c r="AH91" s="113"/>
      <c r="AI91" s="113"/>
      <c r="AJ91" s="113"/>
    </row>
    <row r="92" spans="3:36" x14ac:dyDescent="0.55000000000000004">
      <c r="C92" s="66" t="s">
        <v>613</v>
      </c>
      <c r="D92" s="180"/>
      <c r="E92" s="180"/>
      <c r="F92" s="180"/>
      <c r="G92" s="180"/>
      <c r="H92" s="197">
        <f t="shared" ref="H92:Q92" si="31">H93-H80</f>
        <v>184.535</v>
      </c>
      <c r="I92" s="197">
        <f t="shared" si="31"/>
        <v>110.316</v>
      </c>
      <c r="J92" s="197">
        <f t="shared" si="31"/>
        <v>80.956000000000003</v>
      </c>
      <c r="K92" s="197">
        <f t="shared" si="31"/>
        <v>103.31700000000001</v>
      </c>
      <c r="L92" s="197">
        <f t="shared" si="31"/>
        <v>57.145999999999994</v>
      </c>
      <c r="M92" s="197">
        <f t="shared" si="31"/>
        <v>157.60599999999999</v>
      </c>
      <c r="N92" s="197">
        <f t="shared" si="31"/>
        <v>99.656999999999996</v>
      </c>
      <c r="O92" s="197">
        <f t="shared" si="31"/>
        <v>315.78099999999995</v>
      </c>
      <c r="P92" s="197">
        <f t="shared" si="31"/>
        <v>114.52100000000002</v>
      </c>
      <c r="Q92" s="197">
        <f t="shared" si="31"/>
        <v>92.555999999999983</v>
      </c>
      <c r="R92" s="197">
        <f>SUM(R84:R91)</f>
        <v>101</v>
      </c>
      <c r="S92" s="69">
        <f>Master!I86-P92-Q92-R92</f>
        <v>110.923</v>
      </c>
      <c r="T92" s="191">
        <v>90</v>
      </c>
      <c r="U92" s="191">
        <v>90</v>
      </c>
      <c r="V92" s="191">
        <v>90</v>
      </c>
      <c r="W92" s="86">
        <f>Master!J86-T92-U92-V92</f>
        <v>97</v>
      </c>
      <c r="Y92" s="113"/>
      <c r="Z92" s="113"/>
      <c r="AA92" s="113"/>
      <c r="AB92" s="113"/>
      <c r="AC92" s="113"/>
      <c r="AD92" s="113"/>
      <c r="AE92" s="113"/>
      <c r="AF92" s="113"/>
      <c r="AG92" s="113"/>
      <c r="AH92" s="113"/>
      <c r="AI92" s="113"/>
      <c r="AJ92" s="113"/>
    </row>
    <row r="93" spans="3:36" x14ac:dyDescent="0.55000000000000004">
      <c r="C93" s="67" t="s">
        <v>683</v>
      </c>
      <c r="D93" s="180"/>
      <c r="E93" s="180"/>
      <c r="F93" s="180"/>
      <c r="G93" s="180"/>
      <c r="H93" s="199">
        <f>'Non GAAP feeder'!AE136/1000</f>
        <v>-42.253999999999998</v>
      </c>
      <c r="I93" s="199">
        <f>'Non GAAP feeder'!AF136/1000</f>
        <v>-103.45699999999999</v>
      </c>
      <c r="J93" s="199">
        <f>'Non GAAP feeder'!AG136/1000</f>
        <v>32.167000000000002</v>
      </c>
      <c r="K93" s="199">
        <f>'Non GAAP feeder'!AH136/1000</f>
        <v>-31.864000000000001</v>
      </c>
      <c r="L93" s="199">
        <f>'Non GAAP feeder'!AI136/1000</f>
        <v>50.973999999999997</v>
      </c>
      <c r="M93" s="199">
        <f>'Non GAAP feeder'!AJ136/1000</f>
        <v>25.498999999999999</v>
      </c>
      <c r="N93" s="199">
        <f>'Non GAAP feeder'!AK136/1000</f>
        <v>89.748999999999995</v>
      </c>
      <c r="O93" s="199">
        <f>'Non GAAP feeder'!AL136/1000</f>
        <v>185.12899999999999</v>
      </c>
      <c r="P93" s="199">
        <f>'Non GAAP feeder'!AM136/1000</f>
        <v>364.26400000000001</v>
      </c>
      <c r="Q93" s="199">
        <f>'Non GAAP feeder'!AN136/1000</f>
        <v>399.11799999999999</v>
      </c>
      <c r="R93" s="192">
        <v>330</v>
      </c>
      <c r="S93" s="199">
        <f>Master!I87-P93-Q93-R93</f>
        <v>352.72444981266153</v>
      </c>
      <c r="T93" s="199">
        <f>T94*T60</f>
        <v>425.5032057221747</v>
      </c>
      <c r="U93" s="199">
        <f>U94*U60</f>
        <v>511.60100480010533</v>
      </c>
      <c r="V93" s="199">
        <f>V94*V60</f>
        <v>562.17495940067579</v>
      </c>
      <c r="W93" s="199">
        <f>Master!J87-T93-U93-V93</f>
        <v>568.26524585933907</v>
      </c>
      <c r="Y93" s="113"/>
      <c r="Z93" s="113"/>
      <c r="AA93" s="113"/>
      <c r="AB93" s="113"/>
      <c r="AC93" s="113"/>
      <c r="AD93" s="113"/>
      <c r="AE93" s="113"/>
      <c r="AF93" s="113"/>
      <c r="AG93" s="113"/>
      <c r="AH93" s="113"/>
      <c r="AI93" s="113"/>
      <c r="AJ93" s="113"/>
    </row>
    <row r="94" spans="3:36" x14ac:dyDescent="0.55000000000000004">
      <c r="C94" s="67" t="s">
        <v>618</v>
      </c>
      <c r="D94" s="180"/>
      <c r="E94" s="180"/>
      <c r="F94" s="180"/>
      <c r="G94" s="180"/>
      <c r="H94" s="180">
        <f>H93/H60</f>
        <v>-3.2629579292024459E-2</v>
      </c>
      <c r="I94" s="180">
        <f>I93/I60</f>
        <v>-7.0395768238380896E-2</v>
      </c>
      <c r="J94" s="180">
        <f>J93/J60</f>
        <v>2.052659421385767E-2</v>
      </c>
      <c r="K94" s="180">
        <f>K93/K60</f>
        <v>-1.9192926132171221E-2</v>
      </c>
      <c r="L94" s="180">
        <f t="shared" ref="L94:S94" si="32">L93/L60</f>
        <v>2.9729660372428527E-2</v>
      </c>
      <c r="M94" s="180">
        <f t="shared" si="32"/>
        <v>1.366431934820248E-2</v>
      </c>
      <c r="N94" s="180">
        <f t="shared" si="32"/>
        <v>4.7274907042538401E-2</v>
      </c>
      <c r="O94" s="180">
        <f t="shared" si="32"/>
        <v>9.138779080558726E-2</v>
      </c>
      <c r="P94" s="180">
        <f t="shared" si="32"/>
        <v>0.17391678002055888</v>
      </c>
      <c r="Q94" s="180">
        <f>Q93/Q60</f>
        <v>0.17869781685978831</v>
      </c>
      <c r="R94" s="180">
        <f t="shared" si="32"/>
        <v>0.14740050998851503</v>
      </c>
      <c r="S94" s="180">
        <f t="shared" si="32"/>
        <v>0.15134116332413985</v>
      </c>
      <c r="T94" s="214">
        <v>0.18</v>
      </c>
      <c r="U94" s="214">
        <v>0.2</v>
      </c>
      <c r="V94" s="214">
        <v>0.22</v>
      </c>
      <c r="W94" s="180">
        <f>W93/W60</f>
        <v>0.21138880072114813</v>
      </c>
      <c r="Y94" s="113"/>
      <c r="Z94" s="113"/>
      <c r="AA94" s="113"/>
      <c r="AB94" s="113"/>
      <c r="AC94" s="113"/>
      <c r="AD94" s="113"/>
      <c r="AE94" s="113"/>
      <c r="AF94" s="113"/>
      <c r="AG94" s="113"/>
      <c r="AH94" s="113"/>
      <c r="AI94" s="113"/>
      <c r="AJ94" s="113"/>
    </row>
    <row r="95" spans="3:36" x14ac:dyDescent="0.55000000000000004">
      <c r="C95" s="67"/>
      <c r="D95" s="180"/>
      <c r="E95" s="180"/>
      <c r="F95" s="180"/>
      <c r="G95" s="180"/>
      <c r="H95" s="180"/>
      <c r="I95" s="180"/>
      <c r="J95" s="180"/>
      <c r="K95" s="180"/>
      <c r="L95" s="180"/>
      <c r="M95" s="180"/>
      <c r="N95" s="180"/>
      <c r="O95" s="180"/>
      <c r="P95" s="180"/>
      <c r="Q95" s="199"/>
      <c r="R95" s="180"/>
      <c r="S95" s="180"/>
      <c r="T95" s="180"/>
      <c r="U95" s="180"/>
      <c r="V95" s="180"/>
      <c r="W95" s="180"/>
      <c r="Y95" s="113"/>
      <c r="Z95" s="113"/>
      <c r="AA95" s="113"/>
      <c r="AB95" s="113"/>
      <c r="AC95" s="113"/>
      <c r="AD95" s="113"/>
      <c r="AE95" s="113"/>
      <c r="AF95" s="113"/>
      <c r="AG95" s="113"/>
      <c r="AH95" s="113"/>
      <c r="AI95" s="113"/>
      <c r="AJ95" s="113"/>
    </row>
    <row r="96" spans="3:36" x14ac:dyDescent="0.55000000000000004">
      <c r="C96" s="67" t="s">
        <v>882</v>
      </c>
      <c r="D96" s="180"/>
      <c r="E96" s="180"/>
      <c r="F96" s="180"/>
      <c r="G96" s="180"/>
      <c r="H96" s="199">
        <f>H60-H93</f>
        <v>1337.2139999999999</v>
      </c>
      <c r="I96" s="199">
        <f>I60-I93</f>
        <v>1573.105</v>
      </c>
      <c r="J96" s="199">
        <f>J60-J93</f>
        <v>1534.922</v>
      </c>
      <c r="K96" s="199">
        <f>K60-K93</f>
        <v>1692.059</v>
      </c>
      <c r="L96" s="199">
        <f>L60-L93</f>
        <v>1663.6100000000001</v>
      </c>
      <c r="M96" s="199">
        <f t="shared" ref="M96:W96" si="33">M60-M93</f>
        <v>1840.6020000000001</v>
      </c>
      <c r="N96" s="199">
        <f t="shared" si="33"/>
        <v>1808.7</v>
      </c>
      <c r="O96" s="199">
        <f t="shared" si="33"/>
        <v>1840.623</v>
      </c>
      <c r="P96" s="199">
        <f t="shared" si="33"/>
        <v>1730.2089999999998</v>
      </c>
      <c r="Q96" s="199">
        <f t="shared" si="33"/>
        <v>1834.3620000000001</v>
      </c>
      <c r="R96" s="199">
        <f t="shared" si="33"/>
        <v>1908.798224142593</v>
      </c>
      <c r="S96" s="199">
        <f t="shared" si="33"/>
        <v>1977.9332646202747</v>
      </c>
      <c r="T96" s="199">
        <f t="shared" si="33"/>
        <v>1938.4034927343514</v>
      </c>
      <c r="U96" s="199">
        <f t="shared" si="33"/>
        <v>2046.4040192004213</v>
      </c>
      <c r="V96" s="199">
        <f t="shared" si="33"/>
        <v>1993.1657651478506</v>
      </c>
      <c r="W96" s="199">
        <f t="shared" si="33"/>
        <v>2119.9814536853628</v>
      </c>
      <c r="Y96" s="113"/>
      <c r="Z96" s="113"/>
      <c r="AA96" s="113"/>
      <c r="AB96" s="113"/>
      <c r="AC96" s="113">
        <f t="shared" ref="AC96:AJ96" si="34">L96/H96-1</f>
        <v>0.24408658599147204</v>
      </c>
      <c r="AD96" s="113">
        <f t="shared" si="34"/>
        <v>0.17004395765063363</v>
      </c>
      <c r="AE96" s="113">
        <f t="shared" si="34"/>
        <v>0.17836606680990963</v>
      </c>
      <c r="AF96" s="113">
        <f t="shared" si="34"/>
        <v>8.7800720896848317E-2</v>
      </c>
      <c r="AG96" s="113">
        <f t="shared" si="34"/>
        <v>4.0032820192232421E-2</v>
      </c>
      <c r="AH96" s="113">
        <f t="shared" si="34"/>
        <v>-3.390195164408194E-3</v>
      </c>
      <c r="AI96" s="113">
        <f t="shared" si="34"/>
        <v>5.5342635120579908E-2</v>
      </c>
      <c r="AJ96" s="113">
        <f t="shared" si="34"/>
        <v>7.4599885267257138E-2</v>
      </c>
    </row>
    <row r="97" spans="3:36" x14ac:dyDescent="0.55000000000000004">
      <c r="C97" s="67"/>
      <c r="D97" s="180"/>
      <c r="E97" s="180"/>
      <c r="F97" s="180"/>
      <c r="G97" s="180"/>
      <c r="H97" s="180"/>
      <c r="I97" s="180"/>
      <c r="J97" s="180"/>
      <c r="K97" s="180"/>
      <c r="L97" s="180"/>
      <c r="M97" s="180"/>
      <c r="N97" s="180"/>
      <c r="O97" s="180"/>
      <c r="P97" s="180"/>
      <c r="Q97" s="199"/>
      <c r="R97" s="180"/>
      <c r="S97" s="180"/>
      <c r="T97" s="180"/>
      <c r="U97" s="180"/>
      <c r="V97" s="180"/>
      <c r="W97" s="180"/>
      <c r="Y97" s="113"/>
      <c r="Z97" s="113"/>
      <c r="AA97" s="113"/>
      <c r="AB97" s="113"/>
      <c r="AC97" s="113"/>
      <c r="AD97" s="113"/>
      <c r="AE97" s="113"/>
      <c r="AF97" s="113"/>
      <c r="AG97" s="113"/>
      <c r="AH97" s="113"/>
      <c r="AI97" s="113"/>
      <c r="AJ97" s="113"/>
    </row>
    <row r="98" spans="3:36" x14ac:dyDescent="0.55000000000000004">
      <c r="C98" s="66" t="str">
        <f>'GAAP feeder'!A35</f>
        <v>Gain on sale of asset group</v>
      </c>
      <c r="D98" s="69">
        <f>'GAAP feeder'!AA35/1000</f>
        <v>0</v>
      </c>
      <c r="E98" s="69">
        <f>'GAAP feeder'!AB35/1000</f>
        <v>0</v>
      </c>
      <c r="F98" s="69">
        <f>'GAAP feeder'!AC35/1000</f>
        <v>0</v>
      </c>
      <c r="G98" s="69">
        <f>'GAAP feeder'!AD35/1000</f>
        <v>0</v>
      </c>
      <c r="H98" s="69">
        <f>'GAAP feeder'!AE35/1000</f>
        <v>0</v>
      </c>
      <c r="I98" s="69">
        <f>'GAAP feeder'!AF35/1000</f>
        <v>0</v>
      </c>
      <c r="J98" s="69">
        <f>'GAAP feeder'!AG35/1000</f>
        <v>0</v>
      </c>
      <c r="K98" s="69">
        <f>'GAAP feeder'!AH35/1000</f>
        <v>0</v>
      </c>
      <c r="L98" s="69">
        <f>'GAAP feeder'!AI35/1000</f>
        <v>0</v>
      </c>
      <c r="M98" s="69">
        <f>'GAAP feeder'!AJ35/1000</f>
        <v>0</v>
      </c>
      <c r="N98" s="69">
        <f>'GAAP feeder'!AK35/1000</f>
        <v>0</v>
      </c>
      <c r="O98" s="69">
        <f>'GAAP feeder'!AL35/1000</f>
        <v>0</v>
      </c>
      <c r="P98" s="69">
        <f>'GAAP feeder'!AM35/1000</f>
        <v>0</v>
      </c>
      <c r="Q98" s="69">
        <f>'GAAP feeder'!AN35/1000</f>
        <v>0</v>
      </c>
      <c r="R98" s="191">
        <v>0</v>
      </c>
      <c r="S98" s="69">
        <f>Master!I104-P98-Q98-R98</f>
        <v>0</v>
      </c>
      <c r="T98" s="191">
        <v>0</v>
      </c>
      <c r="U98" s="191">
        <v>0</v>
      </c>
      <c r="V98" s="191">
        <v>0</v>
      </c>
      <c r="W98" s="69">
        <f>Master!J104-T98-U98-V98</f>
        <v>0</v>
      </c>
    </row>
    <row r="99" spans="3:36" x14ac:dyDescent="0.55000000000000004">
      <c r="C99" s="66" t="str">
        <f>'GAAP feeder'!A36</f>
        <v>Interest (income) expense, net</v>
      </c>
      <c r="D99" s="69">
        <f>'GAAP feeder'!AA36/1000</f>
        <v>0.253</v>
      </c>
      <c r="E99" s="69">
        <f>'GAAP feeder'!AB36/1000</f>
        <v>6.4640000000000004</v>
      </c>
      <c r="F99" s="69">
        <f>'GAAP feeder'!AC36/1000</f>
        <v>13.409000000000001</v>
      </c>
      <c r="G99" s="69">
        <f>'GAAP feeder'!AD36/1000</f>
        <v>12.997999999999999</v>
      </c>
      <c r="H99" s="69">
        <f>'GAAP feeder'!AE36/1000</f>
        <v>15.747999999999999</v>
      </c>
      <c r="I99" s="69">
        <f>'GAAP feeder'!AF36/1000</f>
        <v>12.965999999999999</v>
      </c>
      <c r="J99" s="69">
        <f>'GAAP feeder'!AG36/1000</f>
        <v>6.0419999999999998</v>
      </c>
      <c r="K99" s="69">
        <f>'GAAP feeder'!AH36/1000</f>
        <v>1.472</v>
      </c>
      <c r="L99" s="69">
        <f>'GAAP feeder'!AI36/1000</f>
        <v>-3.161</v>
      </c>
      <c r="M99" s="69">
        <f>'GAAP feeder'!AJ36/1000</f>
        <v>-3.944</v>
      </c>
      <c r="N99" s="69">
        <f>'GAAP feeder'!AK36/1000</f>
        <v>-21.414999999999999</v>
      </c>
      <c r="O99" s="69">
        <f>'GAAP feeder'!AL36/1000</f>
        <v>-18.701000000000001</v>
      </c>
      <c r="P99" s="69">
        <f>'GAAP feeder'!AM36/1000</f>
        <v>-18.745000000000001</v>
      </c>
      <c r="Q99" s="69">
        <f>'GAAP feeder'!AN36/1000</f>
        <v>-1.871</v>
      </c>
      <c r="R99" s="191">
        <v>-20</v>
      </c>
      <c r="S99" s="69">
        <f>Master!I105-P99-Q99-R99</f>
        <v>-39.383999999999993</v>
      </c>
      <c r="T99" s="191">
        <v>-20</v>
      </c>
      <c r="U99" s="191">
        <v>-20</v>
      </c>
      <c r="V99" s="191">
        <v>-20</v>
      </c>
      <c r="W99" s="69">
        <f>Master!J105-T99-U99-V99</f>
        <v>-20</v>
      </c>
    </row>
    <row r="100" spans="3:36" x14ac:dyDescent="0.55000000000000004">
      <c r="C100" s="66" t="str">
        <f>'GAAP feeder'!A37</f>
        <v>Other (income) expense, net</v>
      </c>
      <c r="D100" s="69">
        <f>'GAAP feeder'!AA37/1000</f>
        <v>27.527999999999999</v>
      </c>
      <c r="E100" s="69">
        <f>'GAAP feeder'!AB37/1000</f>
        <v>-75.787999999999997</v>
      </c>
      <c r="F100" s="69">
        <f>'GAAP feeder'!AC37/1000</f>
        <v>12.010999999999999</v>
      </c>
      <c r="G100" s="69">
        <f>'GAAP feeder'!AD37/1000</f>
        <v>6.7759999999999998</v>
      </c>
      <c r="H100" s="69">
        <f>'GAAP feeder'!AE37/1000</f>
        <v>-33.472000000000001</v>
      </c>
      <c r="I100" s="69">
        <f>'GAAP feeder'!AF37/1000</f>
        <v>-18.765999999999998</v>
      </c>
      <c r="J100" s="69">
        <f>'GAAP feeder'!AG37/1000</f>
        <v>-18.797999999999998</v>
      </c>
      <c r="K100" s="69">
        <f>'GAAP feeder'!AH37/1000</f>
        <v>-24.407</v>
      </c>
      <c r="L100" s="69">
        <f>'GAAP feeder'!AI37/1000</f>
        <v>18.370999999999999</v>
      </c>
      <c r="M100" s="69">
        <f>'GAAP feeder'!AJ37/1000</f>
        <v>1.379</v>
      </c>
      <c r="N100" s="69">
        <f>'GAAP feeder'!AK37/1000</f>
        <v>-4.2619999999999996</v>
      </c>
      <c r="O100" s="69">
        <f>'GAAP feeder'!AL37/1000</f>
        <v>-217.96299999999999</v>
      </c>
      <c r="P100" s="69">
        <f>'GAAP feeder'!AM37/1000</f>
        <v>-237.82400000000001</v>
      </c>
      <c r="Q100" s="69">
        <f>'GAAP feeder'!AN37/1000</f>
        <v>59.531999999999996</v>
      </c>
      <c r="R100" s="191">
        <v>0</v>
      </c>
      <c r="S100" s="69">
        <f>Master!I106-P100-Q100-R100</f>
        <v>-171.70799999999997</v>
      </c>
      <c r="T100" s="191">
        <v>0</v>
      </c>
      <c r="U100" s="191">
        <v>0</v>
      </c>
      <c r="V100" s="191">
        <v>0</v>
      </c>
      <c r="W100" s="69">
        <f>Master!J106-T100-U100-V100</f>
        <v>0</v>
      </c>
    </row>
    <row r="101" spans="3:36" x14ac:dyDescent="0.55000000000000004">
      <c r="C101" s="66" t="str">
        <f>'GAAP feeder'!A38</f>
        <v xml:space="preserve">          Income (loss) before income tax</v>
      </c>
      <c r="D101" s="69">
        <f>'GAAP feeder'!AA38/1000</f>
        <v>39.953000000000003</v>
      </c>
      <c r="E101" s="69">
        <f>'GAAP feeder'!AB38/1000</f>
        <v>194.32</v>
      </c>
      <c r="F101" s="69">
        <f>'GAAP feeder'!AC38/1000</f>
        <v>-2.4239999999999999</v>
      </c>
      <c r="G101" s="69">
        <f>'GAAP feeder'!AD38/1000</f>
        <v>-74.388999999999996</v>
      </c>
      <c r="H101" s="69">
        <f>'GAAP feeder'!AE38/1000</f>
        <v>-209.065</v>
      </c>
      <c r="I101" s="69">
        <f>'GAAP feeder'!AF38/1000</f>
        <v>-207.97300000000001</v>
      </c>
      <c r="J101" s="69">
        <f>'GAAP feeder'!AG38/1000</f>
        <v>-36.033000000000001</v>
      </c>
      <c r="K101" s="69">
        <f>'GAAP feeder'!AH38/1000</f>
        <v>-112.246</v>
      </c>
      <c r="L101" s="69">
        <f>'GAAP feeder'!AI38/1000</f>
        <v>-21.382000000000001</v>
      </c>
      <c r="M101" s="69">
        <f>'GAAP feeder'!AJ38/1000</f>
        <v>-129.542</v>
      </c>
      <c r="N101" s="69">
        <f>'GAAP feeder'!AK38/1000</f>
        <v>15.769</v>
      </c>
      <c r="O101" s="69">
        <f>'GAAP feeder'!AL38/1000</f>
        <v>106.012</v>
      </c>
      <c r="P101" s="69">
        <f>'GAAP feeder'!AM38/1000</f>
        <v>506.31200000000001</v>
      </c>
      <c r="Q101" s="69">
        <f>'GAAP feeder'!AN38/1000</f>
        <v>248.90100000000001</v>
      </c>
      <c r="R101" s="69">
        <f>R80+R98-R99-R100</f>
        <v>249</v>
      </c>
      <c r="S101" s="69">
        <f>Master!I107-P101-Q101-R101</f>
        <v>452.89344981266163</v>
      </c>
      <c r="T101" s="69">
        <f>T80+T98-T99-T100</f>
        <v>355.5032057221747</v>
      </c>
      <c r="U101" s="69">
        <f>U80+U98-U99-U100</f>
        <v>441.60100480010533</v>
      </c>
      <c r="V101" s="69">
        <f>V80+V98-V99-V100</f>
        <v>492.17495940067579</v>
      </c>
      <c r="W101" s="69">
        <f>Master!J107-T101-U101-V101</f>
        <v>491.26524585933907</v>
      </c>
    </row>
    <row r="102" spans="3:36" x14ac:dyDescent="0.55000000000000004">
      <c r="C102" s="66" t="str">
        <f>'GAAP feeder'!A39</f>
        <v>Provision (benefit) for income taxes</v>
      </c>
      <c r="D102" s="69">
        <f>'GAAP feeder'!AA39/1000</f>
        <v>0.94699999999999995</v>
      </c>
      <c r="E102" s="69">
        <f>'GAAP feeder'!AB39/1000</f>
        <v>-9.36</v>
      </c>
      <c r="F102" s="69">
        <f>'GAAP feeder'!AC39/1000</f>
        <v>0.45200000000000001</v>
      </c>
      <c r="G102" s="69">
        <f>'GAAP feeder'!AD39/1000</f>
        <v>6.5970000000000004</v>
      </c>
      <c r="H102" s="69">
        <f>'GAAP feeder'!AE39/1000</f>
        <v>-1.702</v>
      </c>
      <c r="I102" s="69">
        <f>'GAAP feeder'!AF39/1000</f>
        <v>1.304</v>
      </c>
      <c r="J102" s="69">
        <f>'GAAP feeder'!AG39/1000</f>
        <v>-17.289000000000001</v>
      </c>
      <c r="K102" s="69">
        <f>'GAAP feeder'!AH39/1000</f>
        <v>5.375</v>
      </c>
      <c r="L102" s="69">
        <f>'GAAP feeder'!AI39/1000</f>
        <v>-2.056</v>
      </c>
      <c r="M102" s="69">
        <f>'GAAP feeder'!AJ39/1000</f>
        <v>-3.7</v>
      </c>
      <c r="N102" s="69">
        <f>'GAAP feeder'!AK39/1000</f>
        <v>49.529000000000003</v>
      </c>
      <c r="O102" s="69">
        <f>'GAAP feeder'!AL39/1000</f>
        <v>-51.792000000000002</v>
      </c>
      <c r="P102" s="69">
        <f>'GAAP feeder'!AM39/1000</f>
        <v>35.491999999999997</v>
      </c>
      <c r="Q102" s="69">
        <f>'GAAP feeder'!AN39/1000</f>
        <v>59.029000000000003</v>
      </c>
      <c r="R102" s="191">
        <v>0</v>
      </c>
      <c r="S102" s="69">
        <f>Master!I108-P102-Q102-R102</f>
        <v>-69.521000000000001</v>
      </c>
      <c r="T102" s="191">
        <v>40</v>
      </c>
      <c r="U102" s="191">
        <v>40</v>
      </c>
      <c r="V102" s="191">
        <v>40</v>
      </c>
      <c r="W102" s="69">
        <f>Master!J108-T102-U102-V102</f>
        <v>-70</v>
      </c>
    </row>
    <row r="103" spans="3:36" x14ac:dyDescent="0.55000000000000004">
      <c r="C103" s="66" t="str">
        <f>'GAAP feeder'!A40</f>
        <v>Deemed dividend on Series E preferred stock</v>
      </c>
      <c r="D103" s="69">
        <f>'GAAP feeder'!AA40/1000</f>
        <v>0</v>
      </c>
      <c r="E103" s="69">
        <f>'GAAP feeder'!AB40/1000</f>
        <v>0</v>
      </c>
      <c r="F103" s="69">
        <f>'GAAP feeder'!AC40/1000</f>
        <v>0</v>
      </c>
      <c r="G103" s="69">
        <f>'GAAP feeder'!AD40/1000</f>
        <v>0</v>
      </c>
      <c r="H103" s="69">
        <f>'GAAP feeder'!AE40/1000</f>
        <v>0</v>
      </c>
      <c r="I103" s="69">
        <f>'GAAP feeder'!AF40/1000</f>
        <v>0</v>
      </c>
      <c r="J103" s="69">
        <f>'GAAP feeder'!AG40/1000</f>
        <v>0</v>
      </c>
      <c r="K103" s="69">
        <f>'GAAP feeder'!AH40/1000</f>
        <v>0</v>
      </c>
      <c r="L103" s="69">
        <f>'GAAP feeder'!AI40/1000</f>
        <v>0</v>
      </c>
      <c r="M103" s="69">
        <f>'GAAP feeder'!AJ40/1000</f>
        <v>0</v>
      </c>
      <c r="N103" s="69">
        <f>'GAAP feeder'!AK40/1000</f>
        <v>0</v>
      </c>
      <c r="O103" s="69">
        <f>'GAAP feeder'!AL40/1000</f>
        <v>0</v>
      </c>
      <c r="P103" s="69">
        <f>'GAAP feeder'!AM40/1000</f>
        <v>0</v>
      </c>
      <c r="Q103" s="69">
        <f>'GAAP feeder'!AN40/1000</f>
        <v>0</v>
      </c>
      <c r="R103" s="191">
        <v>0</v>
      </c>
      <c r="S103" s="69">
        <f>Master!I109-P103-Q103-R103</f>
        <v>0</v>
      </c>
      <c r="T103" s="191">
        <v>0</v>
      </c>
      <c r="U103" s="191">
        <v>0</v>
      </c>
      <c r="V103" s="191">
        <v>0</v>
      </c>
      <c r="W103" s="69">
        <f>Master!J109-T103-U103-V103</f>
        <v>0</v>
      </c>
    </row>
    <row r="104" spans="3:36" x14ac:dyDescent="0.55000000000000004">
      <c r="C104" s="66" t="str">
        <f>'GAAP feeder'!A41</f>
        <v xml:space="preserve">          Net income (loss) to common stockholders(3)</v>
      </c>
      <c r="D104" s="69">
        <f>'GAAP feeder'!AA41/1000</f>
        <v>0</v>
      </c>
      <c r="E104" s="69">
        <f>'GAAP feeder'!AB41/1000</f>
        <v>0</v>
      </c>
      <c r="F104" s="69">
        <f>'GAAP feeder'!AC41/1000</f>
        <v>0</v>
      </c>
      <c r="G104" s="69">
        <f>'GAAP feeder'!AD41/1000</f>
        <v>0</v>
      </c>
      <c r="H104" s="69">
        <f>'GAAP feeder'!AE41/1000</f>
        <v>0</v>
      </c>
      <c r="I104" s="69">
        <f>'GAAP feeder'!AF41/1000</f>
        <v>0</v>
      </c>
      <c r="J104" s="69">
        <f>'GAAP feeder'!AG41/1000</f>
        <v>0</v>
      </c>
      <c r="K104" s="69">
        <f>'GAAP feeder'!AH41/1000</f>
        <v>0</v>
      </c>
      <c r="L104" s="69">
        <f>'GAAP feeder'!AI41/1000</f>
        <v>0</v>
      </c>
      <c r="M104" s="69">
        <f>'GAAP feeder'!AJ41/1000</f>
        <v>0</v>
      </c>
      <c r="N104" s="69">
        <f>'GAAP feeder'!AK41/1000</f>
        <v>0</v>
      </c>
      <c r="O104" s="69">
        <f>'GAAP feeder'!AL41/1000</f>
        <v>0</v>
      </c>
      <c r="P104" s="69">
        <f>'GAAP feeder'!AM41/1000</f>
        <v>0</v>
      </c>
      <c r="Q104" s="69">
        <f>'GAAP feeder'!AN41/1000</f>
        <v>0</v>
      </c>
      <c r="R104" s="191">
        <v>0</v>
      </c>
      <c r="S104" s="69">
        <f>Master!I110-P104-Q104-R104</f>
        <v>0</v>
      </c>
      <c r="T104" s="191">
        <v>0</v>
      </c>
      <c r="U104" s="191">
        <v>0</v>
      </c>
      <c r="V104" s="191">
        <v>0</v>
      </c>
      <c r="W104" s="69">
        <f>Master!J110-T104-U104-V104</f>
        <v>0</v>
      </c>
    </row>
    <row r="105" spans="3:36" x14ac:dyDescent="0.55000000000000004">
      <c r="C105" s="66" t="str">
        <f>'GAAP feeder'!A42</f>
        <v xml:space="preserve">          Net income (loss)</v>
      </c>
      <c r="D105" s="69">
        <f>'GAAP feeder'!AA42/1000</f>
        <v>39.006</v>
      </c>
      <c r="E105" s="69">
        <f>'GAAP feeder'!AB42/1000</f>
        <v>203.68</v>
      </c>
      <c r="F105" s="69">
        <f>'GAAP feeder'!AC42/1000</f>
        <v>-2.8759999999999999</v>
      </c>
      <c r="G105" s="69">
        <f>'GAAP feeder'!AD42/1000</f>
        <v>-80.986000000000004</v>
      </c>
      <c r="H105" s="69">
        <f>'GAAP feeder'!AE42/1000</f>
        <v>-207.363</v>
      </c>
      <c r="I105" s="69">
        <f>'GAAP feeder'!AF42/1000</f>
        <v>-209.27699999999999</v>
      </c>
      <c r="J105" s="69">
        <f>'GAAP feeder'!AG42/1000</f>
        <v>-18.744</v>
      </c>
      <c r="K105" s="69">
        <f>'GAAP feeder'!AH42/1000</f>
        <v>-117.621</v>
      </c>
      <c r="L105" s="69">
        <f>'GAAP feeder'!AI42/1000</f>
        <v>-19.326000000000001</v>
      </c>
      <c r="M105" s="69">
        <f>'GAAP feeder'!AJ42/1000</f>
        <v>-125.842</v>
      </c>
      <c r="N105" s="69">
        <f>'GAAP feeder'!AK42/1000</f>
        <v>-33.76</v>
      </c>
      <c r="O105" s="69">
        <f>'GAAP feeder'!AL42/1000</f>
        <v>157.804</v>
      </c>
      <c r="P105" s="69">
        <f>'GAAP feeder'!AM42/1000</f>
        <v>470.82</v>
      </c>
      <c r="Q105" s="69">
        <f>'GAAP feeder'!AN42/1000</f>
        <v>189.87200000000001</v>
      </c>
      <c r="R105" s="69">
        <f>R101-R102</f>
        <v>249</v>
      </c>
      <c r="S105" s="69">
        <f>Master!I111-P105-Q105-R105</f>
        <v>522.41444981266159</v>
      </c>
      <c r="T105" s="69">
        <f>T101-T102</f>
        <v>315.5032057221747</v>
      </c>
      <c r="U105" s="69">
        <f>U101-U102</f>
        <v>401.60100480010533</v>
      </c>
      <c r="V105" s="69">
        <f>V101-V102</f>
        <v>452.17495940067579</v>
      </c>
      <c r="W105" s="69">
        <f>Master!J111-T105-U105-V105</f>
        <v>561.26524585933907</v>
      </c>
    </row>
    <row r="106" spans="3:36" x14ac:dyDescent="0.55000000000000004">
      <c r="C106" s="66" t="str">
        <f>'GAAP feeder'!A43</f>
        <v>Net income (loss) attributable to noncontrolling interests</v>
      </c>
      <c r="D106" s="69">
        <f>'GAAP feeder'!AA43/1000</f>
        <v>0</v>
      </c>
      <c r="E106" s="69">
        <f>'GAAP feeder'!AB43/1000</f>
        <v>-0.34300000000000003</v>
      </c>
      <c r="F106" s="69">
        <f>'GAAP feeder'!AC43/1000</f>
        <v>-2.96</v>
      </c>
      <c r="G106" s="69">
        <f>'GAAP feeder'!AD43/1000</f>
        <v>-4.1550000000000002</v>
      </c>
      <c r="H106" s="69">
        <f>'GAAP feeder'!AE43/1000</f>
        <v>-3.1640000000000001</v>
      </c>
      <c r="I106" s="69">
        <f>'GAAP feeder'!AF43/1000</f>
        <v>-1.2629999999999999</v>
      </c>
      <c r="J106" s="69">
        <f>'GAAP feeder'!AG43/1000</f>
        <v>-4.0330000000000004</v>
      </c>
      <c r="K106" s="69">
        <f>'GAAP feeder'!AH43/1000</f>
        <v>-3.798</v>
      </c>
      <c r="L106" s="69">
        <f>'GAAP feeder'!AI43/1000</f>
        <v>-2.488</v>
      </c>
      <c r="M106" s="69">
        <f>'GAAP feeder'!AJ43/1000</f>
        <v>-3.3359999999999999</v>
      </c>
      <c r="N106" s="69">
        <f>'GAAP feeder'!AK43/1000</f>
        <v>-4.806</v>
      </c>
      <c r="O106" s="69">
        <f>'GAAP feeder'!AL43/1000</f>
        <v>-20.265999999999998</v>
      </c>
      <c r="P106" s="69">
        <f>'GAAP feeder'!AM43/1000</f>
        <v>-1.1850000000000001</v>
      </c>
      <c r="Q106" s="69">
        <f>'GAAP feeder'!AN43/1000</f>
        <v>-5.3959999999999999</v>
      </c>
      <c r="R106" s="191">
        <v>-5</v>
      </c>
      <c r="S106" s="69">
        <f>Master!I112-P106-Q106-R106</f>
        <v>-19.315000000000001</v>
      </c>
      <c r="T106" s="191">
        <v>-5</v>
      </c>
      <c r="U106" s="191">
        <v>-5</v>
      </c>
      <c r="V106" s="191">
        <v>-5</v>
      </c>
      <c r="W106" s="69">
        <f>Master!J112-T106-U106-V106</f>
        <v>-15.896000000000001</v>
      </c>
    </row>
    <row r="107" spans="3:36" x14ac:dyDescent="0.55000000000000004">
      <c r="C107" s="67" t="str">
        <f>'GAAP feeder'!A44</f>
        <v xml:space="preserve">          Net income (loss) attributable to common stockholders</v>
      </c>
      <c r="D107" s="86">
        <f>'GAAP feeder'!AA44/1000</f>
        <v>39.006</v>
      </c>
      <c r="E107" s="86">
        <f>'GAAP feeder'!AB44/1000</f>
        <v>204.023</v>
      </c>
      <c r="F107" s="86">
        <f>'GAAP feeder'!AC44/1000</f>
        <v>8.4000000000000005E-2</v>
      </c>
      <c r="G107" s="86">
        <f>'GAAP feeder'!AD44/1000</f>
        <v>-76.831000000000003</v>
      </c>
      <c r="H107" s="86">
        <f>'GAAP feeder'!AE44/1000</f>
        <v>-204.19900000000001</v>
      </c>
      <c r="I107" s="86">
        <f>'GAAP feeder'!AF44/1000</f>
        <v>-208.01400000000001</v>
      </c>
      <c r="J107" s="86">
        <f>'GAAP feeder'!AG44/1000</f>
        <v>-14.711</v>
      </c>
      <c r="K107" s="86">
        <f>'GAAP feeder'!AH44/1000</f>
        <v>-113.82299999999999</v>
      </c>
      <c r="L107" s="86">
        <f>'GAAP feeder'!AI44/1000</f>
        <v>-16.838000000000001</v>
      </c>
      <c r="M107" s="86">
        <f>'GAAP feeder'!AJ44/1000</f>
        <v>-122.506</v>
      </c>
      <c r="N107" s="86">
        <f>'GAAP feeder'!AK44/1000</f>
        <v>-28.954000000000001</v>
      </c>
      <c r="O107" s="86">
        <f>'GAAP feeder'!AL44/1000</f>
        <v>178.07</v>
      </c>
      <c r="P107" s="86">
        <f>'GAAP feeder'!AM44/1000</f>
        <v>472.005</v>
      </c>
      <c r="Q107" s="86">
        <f>'GAAP feeder'!AN44/1000</f>
        <v>195.268</v>
      </c>
      <c r="R107" s="86">
        <f>R105-R106</f>
        <v>254</v>
      </c>
      <c r="S107" s="86">
        <f>Master!I113-P107-Q107-R107</f>
        <v>479.93744981266161</v>
      </c>
      <c r="T107" s="86">
        <f>T105-T106</f>
        <v>320.5032057221747</v>
      </c>
      <c r="U107" s="86">
        <f>U105-U106</f>
        <v>406.60100480010533</v>
      </c>
      <c r="V107" s="86">
        <f>V105-V106</f>
        <v>457.17495940067579</v>
      </c>
      <c r="W107" s="86">
        <f>Master!J113-T107-U107-V107</f>
        <v>515.36924585933912</v>
      </c>
    </row>
    <row r="108" spans="3:36" x14ac:dyDescent="0.55000000000000004">
      <c r="C108" s="66"/>
      <c r="D108" s="69"/>
      <c r="E108" s="69"/>
      <c r="F108" s="69"/>
      <c r="G108" s="69"/>
      <c r="H108" s="69"/>
      <c r="I108" s="69"/>
      <c r="J108" s="69"/>
      <c r="K108" s="69"/>
      <c r="L108" s="69"/>
      <c r="M108" s="69"/>
      <c r="N108" s="69"/>
      <c r="O108" s="69"/>
      <c r="P108" s="69"/>
      <c r="Q108" s="69"/>
      <c r="R108" s="69"/>
      <c r="S108" s="69"/>
      <c r="T108" s="69"/>
      <c r="U108" s="69"/>
      <c r="V108" s="69"/>
      <c r="W108" s="69"/>
    </row>
    <row r="109" spans="3:36" x14ac:dyDescent="0.55000000000000004">
      <c r="C109" s="66" t="str">
        <f>'GAAP feeder'!A46</f>
        <v>Net income (loss) per share attributable to common stockholders(3)</v>
      </c>
      <c r="D109" s="69"/>
      <c r="E109" s="69"/>
      <c r="F109" s="69"/>
      <c r="G109" s="69"/>
      <c r="H109" s="69"/>
      <c r="I109" s="69"/>
      <c r="J109" s="69"/>
      <c r="K109" s="69"/>
      <c r="L109" s="69"/>
      <c r="M109" s="69"/>
      <c r="N109" s="69"/>
      <c r="O109" s="69"/>
      <c r="P109" s="69"/>
      <c r="Q109" s="69"/>
      <c r="R109" s="69"/>
      <c r="S109" s="69"/>
      <c r="T109" s="69"/>
      <c r="U109" s="69"/>
      <c r="V109" s="69"/>
      <c r="W109" s="69"/>
    </row>
    <row r="110" spans="3:36" x14ac:dyDescent="0.55000000000000004">
      <c r="C110" s="66" t="str">
        <f>'GAAP feeder'!A47</f>
        <v xml:space="preserve">    Basic</v>
      </c>
      <c r="D110" s="84">
        <f>'GAAP feeder'!AA47</f>
        <v>0.09</v>
      </c>
      <c r="E110" s="84">
        <f>'GAAP feeder'!AB47</f>
        <v>0.45</v>
      </c>
      <c r="F110" s="84">
        <f>'GAAP feeder'!AC47</f>
        <v>0</v>
      </c>
      <c r="G110" s="84">
        <f>'GAAP feeder'!AD47</f>
        <v>-0.166094491116866</v>
      </c>
      <c r="H110" s="84">
        <f>'GAAP feeder'!AE47</f>
        <v>-0.38</v>
      </c>
      <c r="I110" s="84">
        <f>'GAAP feeder'!AF47</f>
        <v>-0.36</v>
      </c>
      <c r="J110" s="84">
        <f>'GAAP feeder'!AG47</f>
        <v>-0.02</v>
      </c>
      <c r="K110" s="84">
        <f>'GAAP feeder'!AH47</f>
        <v>-0.19</v>
      </c>
      <c r="L110" s="84">
        <f>'GAAP feeder'!AI47</f>
        <v>-0.03</v>
      </c>
      <c r="M110" s="84">
        <f>'GAAP feeder'!AJ47</f>
        <v>-0.2</v>
      </c>
      <c r="N110" s="84">
        <f>'GAAP feeder'!AK47</f>
        <v>-0.05</v>
      </c>
      <c r="O110" s="84">
        <f>'GAAP feeder'!AL47</f>
        <v>0.28999999999999998</v>
      </c>
      <c r="P110" s="84">
        <f>'GAAP feeder'!AM47</f>
        <v>0.77</v>
      </c>
      <c r="Q110" s="84">
        <f>'GAAP feeder'!AN47</f>
        <v>0.32</v>
      </c>
      <c r="R110" s="84">
        <f>R107/R123</f>
        <v>0.40989823550106019</v>
      </c>
      <c r="S110" s="84">
        <f>Master!I117-P110-Q110-R110</f>
        <v>0.76611441541262615</v>
      </c>
      <c r="T110" s="84">
        <f>T107/T123</f>
        <v>0.51390200158766819</v>
      </c>
      <c r="U110" s="84">
        <f>U107/U123</f>
        <v>0.64986910715957924</v>
      </c>
      <c r="V110" s="84">
        <f>V107/V123</f>
        <v>0.72837298722676669</v>
      </c>
      <c r="W110" s="84">
        <f>W107/W123</f>
        <v>0.81848034650011126</v>
      </c>
    </row>
    <row r="111" spans="3:36" x14ac:dyDescent="0.55000000000000004">
      <c r="C111" s="66" t="str">
        <f>'GAAP feeder'!A48</f>
        <v xml:space="preserve">    Diluted</v>
      </c>
      <c r="D111" s="84">
        <f>'GAAP feeder'!AA48</f>
        <v>0.08</v>
      </c>
      <c r="E111" s="84">
        <f>'GAAP feeder'!AB48</f>
        <v>0.4</v>
      </c>
      <c r="F111" s="84">
        <f>'GAAP feeder'!AC48</f>
        <v>0</v>
      </c>
      <c r="G111" s="84">
        <f>'GAAP feeder'!AD48</f>
        <v>-0.166094491116866</v>
      </c>
      <c r="H111" s="84">
        <f>'GAAP feeder'!AE48</f>
        <v>-0.38</v>
      </c>
      <c r="I111" s="84">
        <f>'GAAP feeder'!AF48</f>
        <v>-0.36</v>
      </c>
      <c r="J111" s="84">
        <f>'GAAP feeder'!AG48</f>
        <v>-0.02</v>
      </c>
      <c r="K111" s="84">
        <f>'GAAP feeder'!AH48</f>
        <v>-0.19</v>
      </c>
      <c r="L111" s="84">
        <f>'GAAP feeder'!AI48</f>
        <v>-0.03</v>
      </c>
      <c r="M111" s="84">
        <f>'GAAP feeder'!AJ48</f>
        <v>-0.2</v>
      </c>
      <c r="N111" s="84">
        <f>'GAAP feeder'!AK48</f>
        <v>-0.05</v>
      </c>
      <c r="O111" s="84">
        <f>'GAAP feeder'!AL48</f>
        <v>0.28000000000000003</v>
      </c>
      <c r="P111" s="84">
        <f>'GAAP feeder'!AM48</f>
        <v>0.74</v>
      </c>
      <c r="Q111" s="84">
        <f>'GAAP feeder'!AN48</f>
        <v>0.31</v>
      </c>
      <c r="R111" s="84">
        <f>R107/R124</f>
        <v>0.39802990865683707</v>
      </c>
      <c r="S111" s="84">
        <f>Master!I118-P111-Q111-R111</f>
        <v>0.76795321667948246</v>
      </c>
      <c r="T111" s="84">
        <f>T107/T124</f>
        <v>0.50231832984693114</v>
      </c>
      <c r="U111" s="84">
        <f>U107/U124</f>
        <v>0.63427544396067892</v>
      </c>
      <c r="V111" s="84">
        <f>V107/V124</f>
        <v>0.7098460974968881</v>
      </c>
      <c r="W111" s="84">
        <f>W107/W124</f>
        <v>0.81410769145363249</v>
      </c>
    </row>
    <row r="112" spans="3:36" x14ac:dyDescent="0.55000000000000004">
      <c r="C112" s="66"/>
      <c r="D112" s="69"/>
      <c r="E112" s="69"/>
      <c r="F112" s="69"/>
      <c r="G112" s="69"/>
      <c r="H112" s="69"/>
      <c r="I112" s="69"/>
      <c r="J112" s="69"/>
      <c r="K112" s="69"/>
      <c r="L112" s="69"/>
      <c r="M112" s="69"/>
      <c r="N112" s="69"/>
      <c r="O112" s="69"/>
      <c r="P112" s="69"/>
      <c r="Q112" s="69"/>
      <c r="R112" s="69"/>
      <c r="S112" s="69"/>
      <c r="T112" s="69"/>
      <c r="U112" s="69"/>
      <c r="V112" s="69"/>
      <c r="W112" s="69"/>
    </row>
    <row r="113" spans="3:23" x14ac:dyDescent="0.55000000000000004">
      <c r="C113" s="66" t="str">
        <f>Master!B120</f>
        <v xml:space="preserve"> Adjustments</v>
      </c>
      <c r="D113" s="69"/>
      <c r="E113" s="69"/>
      <c r="F113" s="69"/>
      <c r="G113" s="69"/>
      <c r="H113" s="69"/>
      <c r="I113" s="69"/>
      <c r="J113" s="69"/>
      <c r="K113" s="69"/>
      <c r="L113" s="69">
        <f t="shared" ref="L113:Q113" si="35">L120-L107</f>
        <v>267.7</v>
      </c>
      <c r="M113" s="69">
        <f t="shared" si="35"/>
        <v>368.49327400000004</v>
      </c>
      <c r="N113" s="69">
        <f t="shared" si="35"/>
        <v>374.423</v>
      </c>
      <c r="O113" s="69">
        <f t="shared" si="35"/>
        <v>106.69999999999999</v>
      </c>
      <c r="P113" s="69">
        <f t="shared" si="35"/>
        <v>70.256999999999948</v>
      </c>
      <c r="Q113" s="69">
        <f t="shared" si="35"/>
        <v>393.45299999999997</v>
      </c>
      <c r="R113" s="69">
        <f t="shared" ref="R113:W113" si="36">SUM(R114:R119)</f>
        <v>277.91999999999996</v>
      </c>
      <c r="S113" s="69">
        <f t="shared" si="36"/>
        <v>198.79062330609864</v>
      </c>
      <c r="T113" s="69">
        <f t="shared" si="36"/>
        <v>280.79999999999995</v>
      </c>
      <c r="U113" s="69">
        <f t="shared" si="36"/>
        <v>284.39999999999998</v>
      </c>
      <c r="V113" s="69">
        <f t="shared" si="36"/>
        <v>288</v>
      </c>
      <c r="W113" s="69">
        <f t="shared" si="36"/>
        <v>209.27955225405532</v>
      </c>
    </row>
    <row r="114" spans="3:23" x14ac:dyDescent="0.55000000000000004">
      <c r="C114" s="66" t="str">
        <f>Master!B121</f>
        <v xml:space="preserve">     Share-based compensation expense</v>
      </c>
      <c r="D114" s="69"/>
      <c r="E114" s="69"/>
      <c r="F114" s="69"/>
      <c r="G114" s="69"/>
      <c r="H114" s="69"/>
      <c r="I114" s="69"/>
      <c r="J114" s="69"/>
      <c r="K114" s="69"/>
      <c r="L114" s="69">
        <f>'Non GAAP feeder'!AI97/1000</f>
        <v>279.59100000000001</v>
      </c>
      <c r="M114" s="69">
        <f>'Non GAAP feeder'!AJ97/1000</f>
        <v>319.24799999999999</v>
      </c>
      <c r="N114" s="69">
        <f>'Non GAAP feeder'!AK97/1000</f>
        <v>345.69</v>
      </c>
      <c r="O114" s="69">
        <f>'Non GAAP feeder'!AL97/1000</f>
        <v>331.56799999999998</v>
      </c>
      <c r="P114" s="69">
        <f>'Non GAAP feeder'!AM97/1000</f>
        <v>304.53100000000001</v>
      </c>
      <c r="Q114" s="69">
        <f>'Non GAAP feeder'!AN97/1000</f>
        <v>320.36799999999999</v>
      </c>
      <c r="R114" s="191">
        <v>325</v>
      </c>
      <c r="S114" s="69">
        <f>Master!I121-P114-Q114-R114</f>
        <v>326.19800000000009</v>
      </c>
      <c r="T114" s="191">
        <v>325</v>
      </c>
      <c r="U114" s="191">
        <v>330</v>
      </c>
      <c r="V114" s="191">
        <v>335</v>
      </c>
      <c r="W114" s="69">
        <f>Master!J121-T114-U114-V114</f>
        <v>317.99942499999997</v>
      </c>
    </row>
    <row r="115" spans="3:23" x14ac:dyDescent="0.55000000000000004">
      <c r="C115" s="66" t="str">
        <f>Master!B122</f>
        <v xml:space="preserve">     Acquisition-related and integration costs</v>
      </c>
      <c r="D115" s="69"/>
      <c r="E115" s="69"/>
      <c r="F115" s="69"/>
      <c r="G115" s="69"/>
      <c r="H115" s="69"/>
      <c r="I115" s="69"/>
      <c r="J115" s="69"/>
      <c r="K115" s="69"/>
      <c r="L115" s="69">
        <f>'Non GAAP feeder'!AI98/1000</f>
        <v>1.5509999999999999</v>
      </c>
      <c r="M115" s="69">
        <f>'Non GAAP feeder'!AJ98/1000</f>
        <v>102.349</v>
      </c>
      <c r="N115" s="69">
        <f>'Non GAAP feeder'!AK98/1000</f>
        <v>24.812000000000001</v>
      </c>
      <c r="O115" s="69">
        <f>'Non GAAP feeder'!AL98/1000</f>
        <v>5.1180000000000003</v>
      </c>
      <c r="P115" s="69">
        <f>'Non GAAP feeder'!AM98/1000</f>
        <v>32.512</v>
      </c>
      <c r="Q115" s="69">
        <f>'Non GAAP feeder'!AN98/1000</f>
        <v>15.35</v>
      </c>
      <c r="R115" s="191">
        <v>0</v>
      </c>
      <c r="S115" s="69">
        <f>Master!I122-P115-Q115-R115</f>
        <v>-14.862</v>
      </c>
      <c r="T115" s="191">
        <v>0</v>
      </c>
      <c r="U115" s="191">
        <v>0</v>
      </c>
      <c r="V115" s="191">
        <v>0</v>
      </c>
      <c r="W115" s="69">
        <f>Master!J122-T115-U115-V115</f>
        <v>34.65</v>
      </c>
    </row>
    <row r="116" spans="3:23" x14ac:dyDescent="0.55000000000000004">
      <c r="C116" s="66" t="str">
        <f>Master!B123</f>
        <v xml:space="preserve">     Amortization of intangible assets</v>
      </c>
      <c r="D116" s="69"/>
      <c r="E116" s="69"/>
      <c r="F116" s="69"/>
      <c r="G116" s="69"/>
      <c r="H116" s="69"/>
      <c r="I116" s="69"/>
      <c r="J116" s="69"/>
      <c r="K116" s="69"/>
      <c r="L116" s="69">
        <f>'Non GAAP feeder'!AI99/1000</f>
        <v>55.594999999999999</v>
      </c>
      <c r="M116" s="69">
        <f>'Non GAAP feeder'!AJ99/1000</f>
        <v>55.256999999999998</v>
      </c>
      <c r="N116" s="69">
        <f>'Non GAAP feeder'!AK99/1000</f>
        <v>74.844999999999999</v>
      </c>
      <c r="O116" s="69">
        <f>'Non GAAP feeder'!AL99/1000</f>
        <v>61.176000000000002</v>
      </c>
      <c r="P116" s="69">
        <f>'Non GAAP feeder'!AM99/1000</f>
        <v>61.308999999999997</v>
      </c>
      <c r="Q116" s="69">
        <f>'Non GAAP feeder'!AN99/1000</f>
        <v>58.402000000000001</v>
      </c>
      <c r="R116" s="191">
        <v>61</v>
      </c>
      <c r="S116" s="69">
        <f>Master!I123-P116-Q116-R116</f>
        <v>78.505650000000003</v>
      </c>
      <c r="T116" s="191">
        <v>65</v>
      </c>
      <c r="U116" s="191">
        <v>65</v>
      </c>
      <c r="V116" s="191">
        <v>65</v>
      </c>
      <c r="W116" s="69">
        <f>Master!J123-T116-U116-V116</f>
        <v>77.177482500000053</v>
      </c>
    </row>
    <row r="117" spans="3:23" x14ac:dyDescent="0.55000000000000004">
      <c r="C117" s="66" t="str">
        <f>Master!B124</f>
        <v xml:space="preserve">     Bitcoin remeasurement</v>
      </c>
      <c r="D117" s="69"/>
      <c r="E117" s="69"/>
      <c r="F117" s="69"/>
      <c r="G117" s="69"/>
      <c r="H117" s="69"/>
      <c r="I117" s="69"/>
      <c r="J117" s="69"/>
      <c r="K117" s="69"/>
      <c r="L117" s="69">
        <f>'Non GAAP feeder'!AI103/1000</f>
        <v>0</v>
      </c>
      <c r="M117" s="69">
        <f>'Non GAAP feeder'!AJ103/1000</f>
        <v>0</v>
      </c>
      <c r="N117" s="69">
        <f>'Non GAAP feeder'!AK103/1000</f>
        <v>0</v>
      </c>
      <c r="O117" s="69">
        <f>'Non GAAP feeder'!AL103/1000</f>
        <v>-207.084</v>
      </c>
      <c r="P117" s="69">
        <f>'Non GAAP feeder'!AM103/1000</f>
        <v>-233.404</v>
      </c>
      <c r="Q117" s="69">
        <f>'Non GAAP feeder'!AN103/1000</f>
        <v>70.116</v>
      </c>
      <c r="R117" s="191">
        <v>0</v>
      </c>
      <c r="S117" s="69">
        <f>Master!I124-P117-Q117-R117</f>
        <v>0.2879999999999967</v>
      </c>
      <c r="T117" s="191">
        <v>0</v>
      </c>
      <c r="U117" s="191">
        <v>0</v>
      </c>
      <c r="V117" s="191">
        <v>0</v>
      </c>
      <c r="W117" s="69">
        <f>Master!J124-T117-U117-V117</f>
        <v>0</v>
      </c>
    </row>
    <row r="118" spans="3:23" x14ac:dyDescent="0.55000000000000004">
      <c r="C118" s="66" t="str">
        <f>Master!B125</f>
        <v xml:space="preserve">     Other</v>
      </c>
      <c r="D118" s="69"/>
      <c r="E118" s="69"/>
      <c r="F118" s="69"/>
      <c r="G118" s="69"/>
      <c r="H118" s="69"/>
      <c r="I118" s="69"/>
      <c r="J118" s="69"/>
      <c r="K118" s="69"/>
      <c r="L118" s="69">
        <f t="shared" ref="L118:Q118" si="37">L113-L114-L115-L116-L117-L119</f>
        <v>15.569999999999979</v>
      </c>
      <c r="M118" s="69">
        <f t="shared" si="37"/>
        <v>1.2860000000000582</v>
      </c>
      <c r="N118" s="69">
        <f t="shared" si="37"/>
        <v>0.12600000000000477</v>
      </c>
      <c r="O118" s="69">
        <f t="shared" si="37"/>
        <v>233.32100000000003</v>
      </c>
      <c r="P118" s="69">
        <f t="shared" si="37"/>
        <v>23.644999999999968</v>
      </c>
      <c r="Q118" s="69">
        <f t="shared" si="37"/>
        <v>14.734999999999985</v>
      </c>
      <c r="R118" s="191">
        <v>0</v>
      </c>
      <c r="S118" s="69">
        <f>Master!I125-P118-Q118-R118</f>
        <v>-14.379999999999953</v>
      </c>
      <c r="T118" s="191">
        <v>0</v>
      </c>
      <c r="U118" s="191">
        <v>0</v>
      </c>
      <c r="V118" s="191">
        <v>0</v>
      </c>
      <c r="W118" s="69">
        <f>Master!J125-T118-U118-V118</f>
        <v>0</v>
      </c>
    </row>
    <row r="119" spans="3:23" x14ac:dyDescent="0.55000000000000004">
      <c r="C119" s="87" t="str">
        <f>Master!B126</f>
        <v xml:space="preserve">     Tax adjs</v>
      </c>
      <c r="D119" s="88"/>
      <c r="E119" s="88"/>
      <c r="F119" s="88"/>
      <c r="G119" s="88"/>
      <c r="H119" s="88"/>
      <c r="I119" s="88"/>
      <c r="J119" s="88"/>
      <c r="K119" s="88"/>
      <c r="L119" s="88">
        <f>'Non GAAP feeder'!AI113/1000</f>
        <v>-84.606999999999999</v>
      </c>
      <c r="M119" s="88">
        <f>'Non GAAP feeder'!AJ113/1000</f>
        <v>-109.646726</v>
      </c>
      <c r="N119" s="88">
        <f>'Non GAAP feeder'!AK113/1000</f>
        <v>-71.05</v>
      </c>
      <c r="O119" s="88">
        <f>'Non GAAP feeder'!AL113/1000</f>
        <v>-317.399</v>
      </c>
      <c r="P119" s="88">
        <f>'Non GAAP feeder'!AM113/1000</f>
        <v>-118.336</v>
      </c>
      <c r="Q119" s="88">
        <f>'Non GAAP feeder'!AN113/1000</f>
        <v>-85.518000000000001</v>
      </c>
      <c r="R119" s="232">
        <f>SUM(R114:R118)*-0.28</f>
        <v>-108.08000000000001</v>
      </c>
      <c r="S119" s="88">
        <f>Master!I126-P119-Q119-R119</f>
        <v>-176.95902669390151</v>
      </c>
      <c r="T119" s="232">
        <f>SUM(T114:T118)*-0.28</f>
        <v>-109.20000000000002</v>
      </c>
      <c r="U119" s="232">
        <f>SUM(U114:U118)*-0.28</f>
        <v>-110.60000000000001</v>
      </c>
      <c r="V119" s="232">
        <f>SUM(V114:V118)*-0.28</f>
        <v>-112.00000000000001</v>
      </c>
      <c r="W119" s="88">
        <f>Master!J126-T119-U119-V119</f>
        <v>-220.54735524594469</v>
      </c>
    </row>
    <row r="120" spans="3:23" x14ac:dyDescent="0.55000000000000004">
      <c r="C120" s="66" t="str">
        <f>Master!B127</f>
        <v>Adj net income (non GAAP)</v>
      </c>
      <c r="D120" s="69"/>
      <c r="E120" s="69"/>
      <c r="F120" s="69"/>
      <c r="G120" s="69"/>
      <c r="H120" s="69"/>
      <c r="I120" s="69"/>
      <c r="J120" s="69"/>
      <c r="K120" s="69"/>
      <c r="L120" s="69">
        <f>'Non GAAP feeder'!AI114/1000</f>
        <v>250.86199999999999</v>
      </c>
      <c r="M120" s="69">
        <f>'Non GAAP feeder'!AJ114/1000</f>
        <v>245.98727400000001</v>
      </c>
      <c r="N120" s="69">
        <f>'Non GAAP feeder'!AK114/1000</f>
        <v>345.46899999999999</v>
      </c>
      <c r="O120" s="69">
        <f>'Non GAAP feeder'!AL114/1000</f>
        <v>284.77</v>
      </c>
      <c r="P120" s="69">
        <f>'Non GAAP feeder'!AM114/1000</f>
        <v>542.26199999999994</v>
      </c>
      <c r="Q120" s="69">
        <f>'Non GAAP feeder'!AN114/1000</f>
        <v>588.721</v>
      </c>
      <c r="R120" s="69">
        <f t="shared" ref="R120:W120" si="38">R107+R113</f>
        <v>531.91999999999996</v>
      </c>
      <c r="S120" s="69">
        <f t="shared" si="38"/>
        <v>678.72807311876022</v>
      </c>
      <c r="T120" s="69">
        <f t="shared" si="38"/>
        <v>601.30320572217465</v>
      </c>
      <c r="U120" s="69">
        <f t="shared" si="38"/>
        <v>691.00100480010531</v>
      </c>
      <c r="V120" s="69">
        <f t="shared" si="38"/>
        <v>745.17495940067579</v>
      </c>
      <c r="W120" s="69">
        <f t="shared" si="38"/>
        <v>724.64879811339438</v>
      </c>
    </row>
    <row r="121" spans="3:23" x14ac:dyDescent="0.55000000000000004">
      <c r="C121" s="66"/>
      <c r="D121" s="69"/>
      <c r="E121" s="69"/>
      <c r="F121" s="69"/>
      <c r="G121" s="69"/>
      <c r="H121" s="69"/>
      <c r="I121" s="69"/>
      <c r="J121" s="69"/>
      <c r="K121" s="69"/>
      <c r="L121" s="69"/>
      <c r="M121" s="69"/>
      <c r="N121" s="69"/>
      <c r="O121" s="69"/>
      <c r="P121" s="69"/>
      <c r="Q121" s="69"/>
      <c r="R121" s="69"/>
      <c r="S121" s="69"/>
      <c r="T121" s="69"/>
      <c r="U121" s="69"/>
      <c r="V121" s="69"/>
      <c r="W121" s="69"/>
    </row>
    <row r="122" spans="3:23" x14ac:dyDescent="0.55000000000000004">
      <c r="C122" s="66" t="str">
        <f>'GAAP feeder'!A50</f>
        <v>Weighted-average shares used to compute net income (loss) per share attributable to common stockholders</v>
      </c>
      <c r="D122" s="84"/>
      <c r="E122" s="69"/>
      <c r="F122" s="69"/>
      <c r="G122" s="69"/>
      <c r="H122" s="69"/>
      <c r="I122" s="69"/>
      <c r="J122" s="69"/>
      <c r="K122" s="69"/>
      <c r="L122" s="69"/>
      <c r="M122" s="69"/>
      <c r="N122" s="69"/>
      <c r="O122" s="69"/>
      <c r="P122" s="69"/>
      <c r="Q122" s="69"/>
      <c r="R122" s="69"/>
      <c r="S122" s="69"/>
      <c r="T122" s="69"/>
      <c r="U122" s="69"/>
      <c r="V122" s="69"/>
      <c r="W122" s="69"/>
    </row>
    <row r="123" spans="3:23" x14ac:dyDescent="0.55000000000000004">
      <c r="C123" s="66" t="str">
        <f>'GAAP feeder'!A51</f>
        <v xml:space="preserve">    Basic</v>
      </c>
      <c r="D123" s="69">
        <f>'Non GAAP feeder'!AA123/1000</f>
        <v>454.97300000000001</v>
      </c>
      <c r="E123" s="69">
        <f>'Non GAAP feeder'!AB123/1000</f>
        <v>455.43099999999998</v>
      </c>
      <c r="F123" s="69">
        <f>'Non GAAP feeder'!AC123/1000</f>
        <v>460.654</v>
      </c>
      <c r="G123" s="69">
        <f>'Non GAAP feeder'!AD123/1000</f>
        <v>462.56200000000001</v>
      </c>
      <c r="H123" s="69">
        <f>'Non GAAP feeder'!AE123/1000</f>
        <v>541.43499999999995</v>
      </c>
      <c r="I123" s="69">
        <f>'Non GAAP feeder'!AF123/1000</f>
        <v>581.35</v>
      </c>
      <c r="J123" s="69">
        <f>'Non GAAP feeder'!AG123/1000</f>
        <v>592.67200000000003</v>
      </c>
      <c r="K123" s="69">
        <f>'Non GAAP feeder'!AH123/1000</f>
        <v>598.875</v>
      </c>
      <c r="L123" s="69">
        <f>'Non GAAP feeder'!AI123/1000</f>
        <v>602.23400000000004</v>
      </c>
      <c r="M123" s="69">
        <f>'Non GAAP feeder'!AJ123/1000</f>
        <v>606.69200000000001</v>
      </c>
      <c r="N123" s="69">
        <f>'Non GAAP feeder'!AK123/1000</f>
        <v>611.27599999999995</v>
      </c>
      <c r="O123" s="69">
        <f>'Non GAAP feeder'!AL123/1000</f>
        <v>615.053</v>
      </c>
      <c r="P123" s="69">
        <f>'Non GAAP feeder'!AM123/1000</f>
        <v>616.40099999999995</v>
      </c>
      <c r="Q123" s="69">
        <f>'Non GAAP feeder'!AN123/1000</f>
        <v>617.66600000000005</v>
      </c>
      <c r="R123" s="69">
        <f t="shared" ref="R123:W124" si="39">Q123+R133</f>
        <v>619.66600000000005</v>
      </c>
      <c r="S123" s="69">
        <f t="shared" si="39"/>
        <v>621.66600000000005</v>
      </c>
      <c r="T123" s="69">
        <f t="shared" si="39"/>
        <v>623.66600000000005</v>
      </c>
      <c r="U123" s="69">
        <f t="shared" si="39"/>
        <v>625.66600000000005</v>
      </c>
      <c r="V123" s="69">
        <f t="shared" si="39"/>
        <v>627.66600000000005</v>
      </c>
      <c r="W123" s="69">
        <f t="shared" si="39"/>
        <v>629.66600000000005</v>
      </c>
    </row>
    <row r="124" spans="3:23" x14ac:dyDescent="0.55000000000000004">
      <c r="C124" s="66" t="str">
        <f>'GAAP feeder'!A52</f>
        <v xml:space="preserve">    Diluted</v>
      </c>
      <c r="D124" s="69">
        <f>'Non GAAP feeder'!AA124/1000</f>
        <v>524.54</v>
      </c>
      <c r="E124" s="69">
        <f>'Non GAAP feeder'!AB124/1000</f>
        <v>522.577</v>
      </c>
      <c r="F124" s="69">
        <f>'Non GAAP feeder'!AC124/1000</f>
        <v>525.00300000000004</v>
      </c>
      <c r="G124" s="69">
        <f>'Non GAAP feeder'!AD124/1000</f>
        <v>523.16899999999998</v>
      </c>
      <c r="H124" s="69">
        <f>'Non GAAP feeder'!AE124/1000</f>
        <v>583.452</v>
      </c>
      <c r="I124" s="69">
        <f>'Non GAAP feeder'!AF124/1000</f>
        <v>619.27200000000005</v>
      </c>
      <c r="J124" s="69">
        <f>'Non GAAP feeder'!AG124/1000</f>
        <v>622.97400000000005</v>
      </c>
      <c r="K124" s="69">
        <f>'Non GAAP feeder'!AH124/1000</f>
        <v>622.52</v>
      </c>
      <c r="L124" s="69">
        <f>'Non GAAP feeder'!AI124/1000</f>
        <v>627.423</v>
      </c>
      <c r="M124" s="69">
        <f>'Non GAAP feeder'!AJ124/1000</f>
        <v>626.66899999999998</v>
      </c>
      <c r="N124" s="69">
        <f>'Non GAAP feeder'!AK124/1000</f>
        <v>628.05899999999997</v>
      </c>
      <c r="O124" s="69">
        <f>'Non GAAP feeder'!AL124/1000</f>
        <v>631.048</v>
      </c>
      <c r="P124" s="69">
        <f>'Non GAAP feeder'!AM124/1000</f>
        <v>637.36</v>
      </c>
      <c r="Q124" s="69">
        <f>'Non GAAP feeder'!AN124/1000</f>
        <v>636.14300000000003</v>
      </c>
      <c r="R124" s="69">
        <f t="shared" si="39"/>
        <v>638.14300000000003</v>
      </c>
      <c r="S124" s="69">
        <f t="shared" si="39"/>
        <v>635.048</v>
      </c>
      <c r="T124" s="69">
        <f t="shared" si="39"/>
        <v>638.048</v>
      </c>
      <c r="U124" s="69">
        <f t="shared" si="39"/>
        <v>641.048</v>
      </c>
      <c r="V124" s="69">
        <f t="shared" si="39"/>
        <v>644.048</v>
      </c>
      <c r="W124" s="69">
        <f t="shared" si="39"/>
        <v>633.048</v>
      </c>
    </row>
    <row r="125" spans="3:23" x14ac:dyDescent="0.55000000000000004">
      <c r="C125" s="66"/>
      <c r="D125" s="66"/>
      <c r="E125" s="66"/>
      <c r="F125" s="66"/>
      <c r="G125" s="66"/>
      <c r="H125" s="66"/>
      <c r="I125" s="66"/>
      <c r="J125" s="66"/>
      <c r="K125" s="66"/>
      <c r="L125" s="66"/>
      <c r="M125" s="66"/>
      <c r="N125" s="66"/>
      <c r="O125" s="66"/>
      <c r="P125" s="66"/>
      <c r="Q125" s="66"/>
    </row>
    <row r="126" spans="3:23" x14ac:dyDescent="0.55000000000000004">
      <c r="C126" s="66" t="s">
        <v>1246</v>
      </c>
      <c r="D126" s="66"/>
      <c r="E126" s="66"/>
      <c r="F126" s="66"/>
      <c r="G126" s="66"/>
      <c r="H126" s="66"/>
      <c r="I126" s="66"/>
      <c r="J126" s="66"/>
      <c r="K126" s="66"/>
      <c r="L126" s="66"/>
      <c r="M126" s="66"/>
      <c r="N126" s="66"/>
      <c r="O126" s="66"/>
      <c r="P126" s="66">
        <v>3.6</v>
      </c>
      <c r="Q126" s="66">
        <v>5.7</v>
      </c>
      <c r="R126" s="241">
        <v>6.5</v>
      </c>
      <c r="S126" s="133">
        <f>Master!I148-P126-Q126-R126</f>
        <v>8.1999999999999993</v>
      </c>
      <c r="T126" s="241">
        <v>9</v>
      </c>
      <c r="U126" s="241">
        <v>10</v>
      </c>
      <c r="V126" s="241">
        <v>10</v>
      </c>
      <c r="W126" s="133">
        <f>Master!J148-T126-U126-V126</f>
        <v>1</v>
      </c>
    </row>
    <row r="127" spans="3:23" x14ac:dyDescent="0.55000000000000004">
      <c r="C127" s="66" t="s">
        <v>1248</v>
      </c>
      <c r="D127" s="66"/>
      <c r="E127" s="66"/>
      <c r="F127" s="66"/>
      <c r="G127" s="66"/>
      <c r="H127" s="66"/>
      <c r="I127" s="66"/>
      <c r="J127" s="66"/>
      <c r="K127" s="66"/>
      <c r="L127" s="66"/>
      <c r="M127" s="66"/>
      <c r="N127" s="66"/>
      <c r="O127" s="66"/>
      <c r="P127" s="66">
        <v>252</v>
      </c>
      <c r="Q127" s="66">
        <v>390</v>
      </c>
      <c r="R127" s="140">
        <f t="shared" ref="R127:W127" si="40">R126*R128</f>
        <v>422.5</v>
      </c>
      <c r="S127" s="140">
        <f t="shared" si="40"/>
        <v>533</v>
      </c>
      <c r="T127" s="140">
        <f t="shared" si="40"/>
        <v>585</v>
      </c>
      <c r="U127" s="140">
        <f t="shared" si="40"/>
        <v>650</v>
      </c>
      <c r="V127" s="140">
        <f t="shared" si="40"/>
        <v>650</v>
      </c>
      <c r="W127" s="140">
        <f t="shared" si="40"/>
        <v>65</v>
      </c>
    </row>
    <row r="128" spans="3:23" x14ac:dyDescent="0.55000000000000004">
      <c r="C128" s="66" t="s">
        <v>1139</v>
      </c>
      <c r="D128" s="66"/>
      <c r="E128" s="66"/>
      <c r="F128" s="66"/>
      <c r="G128" s="66"/>
      <c r="H128" s="66"/>
      <c r="I128" s="66"/>
      <c r="J128" s="66"/>
      <c r="K128" s="66"/>
      <c r="L128" s="66"/>
      <c r="M128" s="66"/>
      <c r="N128" s="66"/>
      <c r="O128" s="66"/>
      <c r="P128" s="133">
        <f>P127/P126</f>
        <v>70</v>
      </c>
      <c r="Q128" s="133">
        <f>Q127/Q126</f>
        <v>68.421052631578945</v>
      </c>
      <c r="R128" s="241">
        <v>65</v>
      </c>
      <c r="S128" s="241">
        <v>65</v>
      </c>
      <c r="T128" s="241">
        <v>65</v>
      </c>
      <c r="U128" s="241">
        <v>65</v>
      </c>
      <c r="V128" s="241">
        <v>65</v>
      </c>
      <c r="W128" s="241">
        <v>65</v>
      </c>
    </row>
    <row r="129" spans="3:23 16384:16384" x14ac:dyDescent="0.55000000000000004">
      <c r="C129" s="66" t="s">
        <v>1249</v>
      </c>
      <c r="D129" s="66"/>
      <c r="E129" s="66"/>
      <c r="F129" s="66"/>
      <c r="G129" s="66"/>
      <c r="H129" s="66"/>
      <c r="I129" s="66"/>
      <c r="J129" s="66"/>
      <c r="K129" s="66"/>
      <c r="L129" s="66"/>
      <c r="M129" s="66"/>
      <c r="N129" s="66"/>
      <c r="O129" s="66"/>
      <c r="P129" s="133"/>
      <c r="Q129" s="133">
        <v>591</v>
      </c>
      <c r="R129" s="133">
        <v>591</v>
      </c>
    </row>
    <row r="130" spans="3:23 16384:16384" x14ac:dyDescent="0.55000000000000004">
      <c r="C130" s="66" t="s">
        <v>1250</v>
      </c>
      <c r="D130" s="66"/>
      <c r="E130" s="66"/>
      <c r="F130" s="66"/>
      <c r="G130" s="66"/>
      <c r="H130" s="66"/>
      <c r="I130" s="66"/>
      <c r="J130" s="66"/>
      <c r="K130" s="66"/>
      <c r="L130" s="66"/>
      <c r="M130" s="66"/>
      <c r="N130" s="66"/>
      <c r="O130" s="66"/>
      <c r="P130" s="133"/>
      <c r="Q130" s="133"/>
      <c r="R130" s="133">
        <v>3000</v>
      </c>
      <c r="S130" s="133">
        <f>R130-R127</f>
        <v>2577.5</v>
      </c>
      <c r="T130" s="133">
        <f>S130-S127</f>
        <v>2044.5</v>
      </c>
      <c r="U130" s="133">
        <f>T130-T127</f>
        <v>1459.5</v>
      </c>
      <c r="V130" s="133">
        <f>U130-U127</f>
        <v>809.5</v>
      </c>
      <c r="W130" s="133">
        <f>V130-V127</f>
        <v>159.5</v>
      </c>
    </row>
    <row r="131" spans="3:23 16384:16384" x14ac:dyDescent="0.55000000000000004">
      <c r="C131" s="66"/>
      <c r="D131" s="66"/>
      <c r="E131" s="66"/>
      <c r="F131" s="66"/>
      <c r="G131" s="66"/>
      <c r="H131" s="66"/>
      <c r="I131" s="66"/>
      <c r="J131" s="66"/>
      <c r="K131" s="66"/>
      <c r="L131" s="66"/>
      <c r="M131" s="66"/>
      <c r="N131" s="66"/>
      <c r="O131" s="66"/>
      <c r="P131" s="133"/>
      <c r="Q131" s="133"/>
      <c r="R131" s="241"/>
    </row>
    <row r="132" spans="3:23 16384:16384" x14ac:dyDescent="0.55000000000000004">
      <c r="C132" s="66" t="s">
        <v>663</v>
      </c>
      <c r="D132" s="66"/>
      <c r="E132" s="66"/>
      <c r="F132" s="66"/>
      <c r="G132" s="66"/>
      <c r="H132" s="66"/>
      <c r="I132" s="66"/>
      <c r="J132" s="66"/>
      <c r="K132" s="66"/>
      <c r="L132" s="66"/>
      <c r="M132" s="66"/>
      <c r="N132" s="66"/>
      <c r="O132" s="66"/>
      <c r="P132" s="66"/>
      <c r="Q132" s="66"/>
    </row>
    <row r="133" spans="3:23 16384:16384" x14ac:dyDescent="0.55000000000000004">
      <c r="C133" s="66" t="str">
        <f>'GAAP feeder'!A55</f>
        <v>Transaction-based revenue</v>
      </c>
      <c r="D133" s="66"/>
      <c r="E133" s="69">
        <f>E123-D123</f>
        <v>0.45799999999996999</v>
      </c>
      <c r="F133" s="69">
        <f t="shared" ref="F133:Q133" si="41">F123-E123</f>
        <v>5.2230000000000132</v>
      </c>
      <c r="G133" s="69">
        <f t="shared" si="41"/>
        <v>1.9080000000000155</v>
      </c>
      <c r="H133" s="69">
        <f t="shared" si="41"/>
        <v>78.872999999999934</v>
      </c>
      <c r="I133" s="69">
        <f t="shared" si="41"/>
        <v>39.915000000000077</v>
      </c>
      <c r="J133" s="69">
        <f t="shared" si="41"/>
        <v>11.322000000000003</v>
      </c>
      <c r="K133" s="69">
        <f t="shared" si="41"/>
        <v>6.2029999999999745</v>
      </c>
      <c r="L133" s="69">
        <f t="shared" si="41"/>
        <v>3.3590000000000373</v>
      </c>
      <c r="M133" s="69">
        <f t="shared" si="41"/>
        <v>4.45799999999997</v>
      </c>
      <c r="N133" s="69">
        <f t="shared" si="41"/>
        <v>4.5839999999999463</v>
      </c>
      <c r="O133" s="69">
        <f t="shared" si="41"/>
        <v>3.7770000000000437</v>
      </c>
      <c r="P133" s="69">
        <f t="shared" si="41"/>
        <v>1.3479999999999563</v>
      </c>
      <c r="Q133" s="69">
        <f t="shared" si="41"/>
        <v>1.2650000000001</v>
      </c>
      <c r="R133" s="191">
        <v>2</v>
      </c>
      <c r="S133" s="191">
        <v>2</v>
      </c>
      <c r="T133" s="191">
        <v>2</v>
      </c>
      <c r="U133" s="191">
        <v>2</v>
      </c>
      <c r="V133" s="191">
        <v>2</v>
      </c>
      <c r="W133" s="191">
        <v>2</v>
      </c>
    </row>
    <row r="134" spans="3:23 16384:16384" x14ac:dyDescent="0.55000000000000004">
      <c r="C134" s="66" t="str">
        <f>'GAAP feeder'!A56</f>
        <v>Subscription and services-based revenue</v>
      </c>
      <c r="D134" s="66"/>
      <c r="E134" s="69">
        <f t="shared" ref="E134:Q134" si="42">E124-D124</f>
        <v>-1.9629999999999654</v>
      </c>
      <c r="F134" s="69">
        <f t="shared" si="42"/>
        <v>2.4260000000000446</v>
      </c>
      <c r="G134" s="69">
        <f t="shared" si="42"/>
        <v>-1.83400000000006</v>
      </c>
      <c r="H134" s="69">
        <f t="shared" si="42"/>
        <v>60.283000000000015</v>
      </c>
      <c r="I134" s="69">
        <f t="shared" si="42"/>
        <v>35.82000000000005</v>
      </c>
      <c r="J134" s="69">
        <f t="shared" si="42"/>
        <v>3.7019999999999982</v>
      </c>
      <c r="K134" s="69">
        <f t="shared" si="42"/>
        <v>-0.45400000000006457</v>
      </c>
      <c r="L134" s="69">
        <f t="shared" si="42"/>
        <v>4.90300000000002</v>
      </c>
      <c r="M134" s="69">
        <f t="shared" si="42"/>
        <v>-0.7540000000000191</v>
      </c>
      <c r="N134" s="69">
        <f t="shared" si="42"/>
        <v>1.3899999999999864</v>
      </c>
      <c r="O134" s="69">
        <f t="shared" si="42"/>
        <v>2.9890000000000327</v>
      </c>
      <c r="P134" s="69">
        <f t="shared" si="42"/>
        <v>6.3120000000000118</v>
      </c>
      <c r="Q134" s="69">
        <f t="shared" si="42"/>
        <v>-1.2169999999999845</v>
      </c>
      <c r="R134" s="191">
        <v>2</v>
      </c>
      <c r="S134" s="197">
        <f>Master!I142-P134-Q134-R134</f>
        <v>-3.0950000000000273</v>
      </c>
      <c r="T134" s="191">
        <v>3</v>
      </c>
      <c r="U134" s="191">
        <v>3</v>
      </c>
      <c r="V134" s="191">
        <v>3</v>
      </c>
      <c r="W134" s="197">
        <f>Master!J142-T134-U134-V134</f>
        <v>-11</v>
      </c>
    </row>
    <row r="135" spans="3:23 16384:16384" x14ac:dyDescent="0.55000000000000004">
      <c r="C135" s="66"/>
      <c r="D135" s="66"/>
      <c r="E135" s="66"/>
      <c r="F135" s="66"/>
      <c r="G135" s="66"/>
      <c r="H135" s="66"/>
      <c r="I135" s="66"/>
      <c r="J135" s="66"/>
      <c r="K135" s="66"/>
      <c r="L135" s="66"/>
      <c r="M135" s="66"/>
      <c r="N135" s="66"/>
      <c r="O135" s="66"/>
      <c r="P135" s="66"/>
    </row>
    <row r="136" spans="3:23 16384:16384" x14ac:dyDescent="0.55000000000000004">
      <c r="C136" s="67" t="s">
        <v>668</v>
      </c>
      <c r="D136" s="66"/>
      <c r="E136" s="134"/>
      <c r="F136" s="134"/>
      <c r="G136" s="180"/>
      <c r="H136" s="180">
        <f t="shared" ref="H136:P136" si="43">H94+Y60</f>
        <v>0.31138702683148367</v>
      </c>
      <c r="I136" s="180">
        <f t="shared" si="43"/>
        <v>0.21756591667877978</v>
      </c>
      <c r="J136" s="180">
        <f t="shared" si="43"/>
        <v>0.40339657034371829</v>
      </c>
      <c r="K136" s="180">
        <f t="shared" si="43"/>
        <v>0.38532146506543424</v>
      </c>
      <c r="L136" s="180">
        <f t="shared" si="43"/>
        <v>0.35377364628705144</v>
      </c>
      <c r="M136" s="180">
        <f t="shared" si="43"/>
        <v>0.28342483343048636</v>
      </c>
      <c r="N136" s="180">
        <f t="shared" si="43"/>
        <v>0.25872428866668357</v>
      </c>
      <c r="O136" s="180">
        <f t="shared" si="43"/>
        <v>0.3115769854483853</v>
      </c>
      <c r="P136" s="180">
        <f t="shared" si="43"/>
        <v>0.39548014466177783</v>
      </c>
      <c r="Q136" s="180">
        <f>Q94+AH60</f>
        <v>0.37556765402294284</v>
      </c>
      <c r="R136" s="180">
        <f t="shared" ref="R136:W136" si="44">R94+AI60</f>
        <v>0.32667802765825116</v>
      </c>
      <c r="S136" s="180">
        <f t="shared" si="44"/>
        <v>0.30185599161157894</v>
      </c>
      <c r="T136" s="180">
        <f>T94+AK6089</f>
        <v>0.18</v>
      </c>
      <c r="U136" s="180">
        <f t="shared" si="44"/>
        <v>0.2</v>
      </c>
      <c r="V136" s="180">
        <f t="shared" si="44"/>
        <v>0.22</v>
      </c>
      <c r="W136" s="180">
        <f t="shared" si="44"/>
        <v>0.21138880072114813</v>
      </c>
    </row>
    <row r="137" spans="3:23 16384:16384" x14ac:dyDescent="0.55000000000000004">
      <c r="C137" s="66"/>
      <c r="D137" s="66"/>
      <c r="E137" s="66"/>
      <c r="F137" s="66"/>
      <c r="G137" s="66"/>
      <c r="H137" s="66"/>
      <c r="I137" s="66"/>
      <c r="J137" s="66"/>
      <c r="K137" s="66"/>
      <c r="L137" s="66"/>
      <c r="M137" s="66"/>
      <c r="N137" s="66"/>
      <c r="O137" s="66"/>
      <c r="P137" s="66"/>
    </row>
    <row r="138" spans="3:23 16384:16384" x14ac:dyDescent="0.55000000000000004">
      <c r="C138" s="67" t="str">
        <f>Master!B94</f>
        <v>Adjusted EBITDA</v>
      </c>
      <c r="D138" s="67"/>
      <c r="E138" s="67"/>
      <c r="F138" s="67"/>
      <c r="G138" s="67"/>
      <c r="H138" s="67"/>
      <c r="I138" s="67"/>
      <c r="J138" s="67"/>
      <c r="K138" s="67"/>
      <c r="L138" s="236">
        <f>'Non GAAP feeder'!AI81/1000</f>
        <v>368.36700000000002</v>
      </c>
      <c r="M138" s="236">
        <f>'Non GAAP feeder'!AJ81/1000</f>
        <v>384.40199999999999</v>
      </c>
      <c r="N138" s="236">
        <f>'Non GAAP feeder'!AK81/1000</f>
        <v>477.488</v>
      </c>
      <c r="O138" s="236">
        <f>'Non GAAP feeder'!AL81/1000</f>
        <v>562.16300000000001</v>
      </c>
      <c r="P138" s="236">
        <f>'Non GAAP feeder'!AM81/1000</f>
        <v>705.07399999999996</v>
      </c>
      <c r="Q138" s="236">
        <f>'Non GAAP feeder'!AN81/1000</f>
        <v>759.476</v>
      </c>
      <c r="R138" s="86">
        <f>R145-R144-R143-R142-R139</f>
        <v>714</v>
      </c>
      <c r="S138" s="86">
        <f>S145-S144-S143-S142-S139</f>
        <v>729.30724674143812</v>
      </c>
      <c r="T138" s="86">
        <f>T145-T144-T143-T142-T139</f>
        <v>795.5032057221747</v>
      </c>
      <c r="U138" s="86">
        <f>U145-U144-U143-U142-U139</f>
        <v>896.60100480010533</v>
      </c>
      <c r="V138" s="86">
        <f>V145-V144-V143-V142-V139</f>
        <v>952.17495940067579</v>
      </c>
      <c r="W138" s="86">
        <f>W145-W144-W143-W142-W139</f>
        <v>967.36214568685318</v>
      </c>
      <c r="XFD138" s="86">
        <f>XFD145-XFD144-XFD143-XFD142-XFD139</f>
        <v>105</v>
      </c>
    </row>
    <row r="139" spans="3:23 16384:16384" x14ac:dyDescent="0.55000000000000004">
      <c r="C139" s="66" t="str">
        <f>Master!B95</f>
        <v>D&amp;A</v>
      </c>
      <c r="D139" s="66"/>
      <c r="E139" s="66"/>
      <c r="F139" s="66"/>
      <c r="G139" s="66"/>
      <c r="H139" s="66"/>
      <c r="I139" s="66"/>
      <c r="J139" s="66"/>
      <c r="K139" s="66"/>
      <c r="L139" s="140">
        <f>-'Non GAAP feeder'!AI85/1000</f>
        <v>-93.173000000000002</v>
      </c>
      <c r="M139" s="140">
        <f>-'Non GAAP feeder'!AJ85/1000</f>
        <v>-94.545000000000002</v>
      </c>
      <c r="N139" s="140">
        <f>-'Non GAAP feeder'!AK85/1000</f>
        <v>-115.518</v>
      </c>
      <c r="O139" s="140">
        <f>-'Non GAAP feeder'!AL85/1000</f>
        <v>-105.324</v>
      </c>
      <c r="P139" s="140">
        <f>-'Non GAAP feeder'!AM85/1000</f>
        <v>-97.64</v>
      </c>
      <c r="Q139" s="140">
        <f>-'Non GAAP feeder'!AN85/1000</f>
        <v>-96.903000000000006</v>
      </c>
      <c r="R139" s="213">
        <v>-120</v>
      </c>
      <c r="S139" s="140">
        <f>Master!I95-P139-Q139-R139</f>
        <v>-130.32744692877645</v>
      </c>
      <c r="T139" s="213">
        <v>-110</v>
      </c>
      <c r="U139" s="213">
        <v>-120</v>
      </c>
      <c r="V139" s="213">
        <v>-120</v>
      </c>
      <c r="W139" s="140">
        <f>Master!J95-T139-U139-V139</f>
        <v>-158.27495732751407</v>
      </c>
      <c r="XFD139" s="213">
        <v>-105</v>
      </c>
    </row>
    <row r="140" spans="3:23 16384:16384" x14ac:dyDescent="0.55000000000000004">
      <c r="C140" s="66" t="str">
        <f>Master!B96</f>
        <v>as % gross profit</v>
      </c>
      <c r="D140" s="66"/>
      <c r="E140" s="66"/>
      <c r="F140" s="66"/>
      <c r="G140" s="66"/>
      <c r="H140" s="66"/>
      <c r="I140" s="66"/>
      <c r="J140" s="66"/>
      <c r="K140" s="66"/>
      <c r="L140" s="171">
        <f>L139/L60</f>
        <v>-5.4341461252408747E-2</v>
      </c>
      <c r="M140" s="171">
        <f t="shared" ref="M140:W140" si="45">M139/M60</f>
        <v>-5.0664460283768135E-2</v>
      </c>
      <c r="N140" s="171">
        <f t="shared" si="45"/>
        <v>-6.0848619056924888E-2</v>
      </c>
      <c r="O140" s="171">
        <f t="shared" si="45"/>
        <v>-5.1992544003412064E-2</v>
      </c>
      <c r="P140" s="171">
        <f t="shared" si="45"/>
        <v>-4.6617932052597483E-2</v>
      </c>
      <c r="Q140" s="171">
        <f t="shared" si="45"/>
        <v>-4.3386553718860257E-2</v>
      </c>
      <c r="R140" s="171">
        <f t="shared" si="45"/>
        <v>-5.3600185450369105E-2</v>
      </c>
      <c r="S140" s="171">
        <f t="shared" si="45"/>
        <v>-5.5918741787652826E-2</v>
      </c>
      <c r="T140" s="171">
        <f t="shared" si="45"/>
        <v>-4.6533139430512502E-2</v>
      </c>
      <c r="U140" s="171">
        <f t="shared" si="45"/>
        <v>-4.6911557590426096E-2</v>
      </c>
      <c r="V140" s="171">
        <f t="shared" si="45"/>
        <v>-4.6960469438454791E-2</v>
      </c>
      <c r="W140" s="171">
        <f t="shared" si="45"/>
        <v>-5.8876648989960825E-2</v>
      </c>
      <c r="XFD140" s="171" t="e">
        <f>XFD139/XFD60</f>
        <v>#DIV/0!</v>
      </c>
    </row>
    <row r="141" spans="3:23 16384:16384" x14ac:dyDescent="0.55000000000000004">
      <c r="C141" s="66"/>
      <c r="D141" s="66"/>
      <c r="E141" s="66"/>
      <c r="F141" s="66"/>
      <c r="G141" s="66"/>
      <c r="H141" s="66"/>
      <c r="I141" s="66"/>
      <c r="J141" s="66"/>
      <c r="K141" s="66"/>
      <c r="L141" s="66"/>
      <c r="M141" s="66"/>
      <c r="N141" s="66"/>
      <c r="O141" s="66"/>
      <c r="P141" s="66"/>
    </row>
    <row r="142" spans="3:23 16384:16384" x14ac:dyDescent="0.55000000000000004">
      <c r="C142" s="66" t="str">
        <f>Master!B98</f>
        <v>Amortisation of intangibles</v>
      </c>
      <c r="D142" s="66"/>
      <c r="E142" s="66"/>
      <c r="F142" s="66"/>
      <c r="G142" s="66"/>
      <c r="H142" s="66"/>
      <c r="I142" s="66"/>
      <c r="J142" s="66"/>
      <c r="K142" s="66"/>
      <c r="L142" s="69">
        <f>L116</f>
        <v>55.594999999999999</v>
      </c>
      <c r="M142" s="69">
        <f t="shared" ref="M142:W142" si="46">M116</f>
        <v>55.256999999999998</v>
      </c>
      <c r="N142" s="69">
        <f t="shared" si="46"/>
        <v>74.844999999999999</v>
      </c>
      <c r="O142" s="69">
        <f t="shared" si="46"/>
        <v>61.176000000000002</v>
      </c>
      <c r="P142" s="69">
        <f t="shared" si="46"/>
        <v>61.308999999999997</v>
      </c>
      <c r="Q142" s="69">
        <f t="shared" si="46"/>
        <v>58.402000000000001</v>
      </c>
      <c r="R142" s="69">
        <f t="shared" si="46"/>
        <v>61</v>
      </c>
      <c r="S142" s="69">
        <f t="shared" si="46"/>
        <v>78.505650000000003</v>
      </c>
      <c r="T142" s="69">
        <f t="shared" si="46"/>
        <v>65</v>
      </c>
      <c r="U142" s="69">
        <f t="shared" si="46"/>
        <v>65</v>
      </c>
      <c r="V142" s="69">
        <f t="shared" si="46"/>
        <v>65</v>
      </c>
      <c r="W142" s="69">
        <f t="shared" si="46"/>
        <v>77.177482500000053</v>
      </c>
    </row>
    <row r="143" spans="3:23 16384:16384" x14ac:dyDescent="0.55000000000000004">
      <c r="C143" s="66" t="str">
        <f>Master!B99</f>
        <v>Share based compensation</v>
      </c>
      <c r="D143" s="66"/>
      <c r="E143" s="66"/>
      <c r="F143" s="66"/>
      <c r="G143" s="66"/>
      <c r="H143" s="66"/>
      <c r="I143" s="66"/>
      <c r="J143" s="66"/>
      <c r="K143" s="66"/>
      <c r="L143" s="69">
        <f>-L114</f>
        <v>-279.59100000000001</v>
      </c>
      <c r="M143" s="69">
        <f t="shared" ref="M143:W143" si="47">-M114</f>
        <v>-319.24799999999999</v>
      </c>
      <c r="N143" s="69">
        <f t="shared" si="47"/>
        <v>-345.69</v>
      </c>
      <c r="O143" s="69">
        <f t="shared" si="47"/>
        <v>-331.56799999999998</v>
      </c>
      <c r="P143" s="69">
        <f t="shared" si="47"/>
        <v>-304.53100000000001</v>
      </c>
      <c r="Q143" s="69">
        <f t="shared" si="47"/>
        <v>-320.36799999999999</v>
      </c>
      <c r="R143" s="69">
        <f t="shared" si="47"/>
        <v>-325</v>
      </c>
      <c r="S143" s="69">
        <f t="shared" si="47"/>
        <v>-326.19800000000009</v>
      </c>
      <c r="T143" s="69">
        <f t="shared" si="47"/>
        <v>-325</v>
      </c>
      <c r="U143" s="69">
        <f t="shared" si="47"/>
        <v>-330</v>
      </c>
      <c r="V143" s="69">
        <f t="shared" si="47"/>
        <v>-335</v>
      </c>
      <c r="W143" s="69">
        <f t="shared" si="47"/>
        <v>-317.99942499999997</v>
      </c>
    </row>
    <row r="144" spans="3:23 16384:16384" x14ac:dyDescent="0.55000000000000004">
      <c r="C144" s="87" t="str">
        <f>Master!B100</f>
        <v>Other</v>
      </c>
      <c r="D144" s="87"/>
      <c r="E144" s="87"/>
      <c r="F144" s="87"/>
      <c r="G144" s="87"/>
      <c r="H144" s="87"/>
      <c r="I144" s="87"/>
      <c r="J144" s="87"/>
      <c r="K144" s="87"/>
      <c r="L144" s="88">
        <f t="shared" ref="L144:Q144" si="48">-((L138-L145)+L143+L142+L139)</f>
        <v>-0.22400000000001796</v>
      </c>
      <c r="M144" s="88">
        <f t="shared" si="48"/>
        <v>-0.36699999999997601</v>
      </c>
      <c r="N144" s="88">
        <f t="shared" si="48"/>
        <v>-1.3760000000000332</v>
      </c>
      <c r="O144" s="88">
        <f t="shared" si="48"/>
        <v>-1.3180000000000121</v>
      </c>
      <c r="P144" s="88">
        <f t="shared" si="48"/>
        <v>5.2000000000063551E-2</v>
      </c>
      <c r="Q144" s="88">
        <f t="shared" si="48"/>
        <v>-1.4890000000000043</v>
      </c>
      <c r="R144" s="341">
        <v>0</v>
      </c>
      <c r="S144" s="235">
        <f>Master!I100-P144-Q144-R144</f>
        <v>1.4369999999999408</v>
      </c>
      <c r="T144" s="341">
        <v>0</v>
      </c>
      <c r="U144" s="341">
        <v>0</v>
      </c>
      <c r="V144" s="341">
        <v>0</v>
      </c>
      <c r="W144" s="235">
        <f>Master!J100-T144-U144-V144</f>
        <v>0</v>
      </c>
    </row>
    <row r="145" spans="3:23" x14ac:dyDescent="0.55000000000000004">
      <c r="C145" s="66" t="str">
        <f>Master!B101</f>
        <v>Adj operating income</v>
      </c>
      <c r="D145" s="66"/>
      <c r="E145" s="66"/>
      <c r="F145" s="66"/>
      <c r="G145" s="66"/>
      <c r="H145" s="66"/>
      <c r="I145" s="66"/>
      <c r="J145" s="66"/>
      <c r="K145" s="66"/>
      <c r="L145" s="69">
        <f>L93</f>
        <v>50.973999999999997</v>
      </c>
      <c r="M145" s="69">
        <f t="shared" ref="M145:W145" si="49">M93</f>
        <v>25.498999999999999</v>
      </c>
      <c r="N145" s="69">
        <f t="shared" si="49"/>
        <v>89.748999999999995</v>
      </c>
      <c r="O145" s="69">
        <f t="shared" si="49"/>
        <v>185.12899999999999</v>
      </c>
      <c r="P145" s="69">
        <f t="shared" si="49"/>
        <v>364.26400000000001</v>
      </c>
      <c r="Q145" s="69">
        <f t="shared" si="49"/>
        <v>399.11799999999999</v>
      </c>
      <c r="R145" s="69">
        <f t="shared" si="49"/>
        <v>330</v>
      </c>
      <c r="S145" s="69">
        <f t="shared" si="49"/>
        <v>352.72444981266153</v>
      </c>
      <c r="T145" s="69">
        <f t="shared" si="49"/>
        <v>425.5032057221747</v>
      </c>
      <c r="U145" s="69">
        <f t="shared" si="49"/>
        <v>511.60100480010533</v>
      </c>
      <c r="V145" s="69">
        <f t="shared" si="49"/>
        <v>562.17495940067579</v>
      </c>
      <c r="W145" s="69">
        <f t="shared" si="49"/>
        <v>568.26524585933907</v>
      </c>
    </row>
    <row r="146" spans="3:23" x14ac:dyDescent="0.55000000000000004">
      <c r="C146" s="66"/>
      <c r="D146" s="66"/>
      <c r="E146" s="66"/>
      <c r="F146" s="66"/>
      <c r="G146" s="66"/>
      <c r="H146" s="66"/>
      <c r="I146" s="66"/>
      <c r="J146" s="66"/>
      <c r="K146" s="66"/>
      <c r="L146" s="66"/>
      <c r="M146" s="66"/>
      <c r="N146" s="66"/>
      <c r="O146" s="66"/>
      <c r="P146" s="66"/>
    </row>
    <row r="147" spans="3:23" x14ac:dyDescent="0.55000000000000004">
      <c r="C147" s="67" t="str">
        <f>Master!B158</f>
        <v>Cash from operating activities</v>
      </c>
      <c r="D147" s="66"/>
      <c r="E147" s="66"/>
      <c r="F147" s="66"/>
      <c r="G147" s="66"/>
      <c r="H147" s="66"/>
      <c r="I147" s="66"/>
      <c r="J147" s="66"/>
      <c r="K147" s="66"/>
      <c r="L147" s="66"/>
      <c r="M147" s="66"/>
      <c r="N147" s="66"/>
      <c r="O147" s="66"/>
      <c r="P147" s="66"/>
      <c r="S147" t="s">
        <v>371</v>
      </c>
    </row>
    <row r="148" spans="3:23" x14ac:dyDescent="0.55000000000000004">
      <c r="C148" s="66" t="str">
        <f>Master!B159</f>
        <v>Net income before mins</v>
      </c>
      <c r="D148" s="66"/>
      <c r="E148" s="66"/>
      <c r="F148" s="66"/>
      <c r="G148" s="66"/>
      <c r="H148" s="66"/>
      <c r="I148" s="66"/>
      <c r="J148" s="66"/>
      <c r="K148" s="66"/>
      <c r="L148" s="69">
        <f>L105</f>
        <v>-19.326000000000001</v>
      </c>
      <c r="M148" s="69">
        <f>M105</f>
        <v>-125.842</v>
      </c>
      <c r="N148" s="69">
        <f>N105</f>
        <v>-33.76</v>
      </c>
      <c r="O148" s="69">
        <f>O105</f>
        <v>157.804</v>
      </c>
      <c r="P148" s="69">
        <f>P105</f>
        <v>470.82</v>
      </c>
      <c r="Q148" s="69">
        <f t="shared" ref="Q148:W148" si="50">Q105</f>
        <v>189.87200000000001</v>
      </c>
      <c r="R148" s="69">
        <f t="shared" si="50"/>
        <v>249</v>
      </c>
      <c r="S148" s="69">
        <f t="shared" si="50"/>
        <v>522.41444981266159</v>
      </c>
      <c r="T148" s="69">
        <f t="shared" si="50"/>
        <v>315.5032057221747</v>
      </c>
      <c r="U148" s="69">
        <f t="shared" si="50"/>
        <v>401.60100480010533</v>
      </c>
      <c r="V148" s="69">
        <f t="shared" si="50"/>
        <v>452.17495940067579</v>
      </c>
      <c r="W148" s="69">
        <f t="shared" si="50"/>
        <v>561.26524585933907</v>
      </c>
    </row>
    <row r="149" spans="3:23" x14ac:dyDescent="0.55000000000000004">
      <c r="C149" s="66" t="str">
        <f>Master!B160</f>
        <v>D&amp;A</v>
      </c>
      <c r="D149" s="66"/>
      <c r="E149" s="66"/>
      <c r="F149" s="66"/>
      <c r="G149" s="66"/>
      <c r="H149" s="66"/>
      <c r="I149" s="66"/>
      <c r="J149" s="66"/>
      <c r="K149" s="66"/>
      <c r="L149" s="140">
        <f>-L139</f>
        <v>93.173000000000002</v>
      </c>
      <c r="M149" s="140">
        <f>-M139</f>
        <v>94.545000000000002</v>
      </c>
      <c r="N149" s="140">
        <f>-N139</f>
        <v>115.518</v>
      </c>
      <c r="O149" s="140">
        <f>-O139</f>
        <v>105.324</v>
      </c>
      <c r="P149" s="140">
        <f>-P139</f>
        <v>97.64</v>
      </c>
      <c r="Q149" s="140">
        <f t="shared" ref="Q149:W149" si="51">-Q139</f>
        <v>96.903000000000006</v>
      </c>
      <c r="R149" s="140">
        <f t="shared" si="51"/>
        <v>120</v>
      </c>
      <c r="S149" s="140">
        <f t="shared" si="51"/>
        <v>130.32744692877645</v>
      </c>
      <c r="T149" s="140">
        <f t="shared" si="51"/>
        <v>110</v>
      </c>
      <c r="U149" s="140">
        <f t="shared" si="51"/>
        <v>120</v>
      </c>
      <c r="V149" s="140">
        <f t="shared" si="51"/>
        <v>120</v>
      </c>
      <c r="W149" s="140">
        <f t="shared" si="51"/>
        <v>158.27495732751407</v>
      </c>
    </row>
    <row r="150" spans="3:23" x14ac:dyDescent="0.55000000000000004">
      <c r="C150" s="66" t="str">
        <f>Master!B161</f>
        <v>Amortisation of discounts/premiums</v>
      </c>
      <c r="D150" s="66"/>
      <c r="E150" s="66"/>
      <c r="F150" s="66"/>
      <c r="G150" s="66"/>
      <c r="H150" s="66"/>
      <c r="I150" s="66"/>
      <c r="J150" s="66"/>
      <c r="K150" s="66"/>
      <c r="L150" s="66">
        <v>-85</v>
      </c>
      <c r="M150" s="66">
        <f>-222-L150</f>
        <v>-137</v>
      </c>
      <c r="N150" s="66">
        <f>-357-M150</f>
        <v>-220</v>
      </c>
      <c r="O150" s="69">
        <f>Master!H161-L150-M150-N150</f>
        <v>-542</v>
      </c>
      <c r="P150" s="347">
        <v>-267</v>
      </c>
      <c r="Q150" s="347">
        <f>-537-P150</f>
        <v>-270</v>
      </c>
      <c r="R150" s="177">
        <v>-250</v>
      </c>
      <c r="S150" s="69">
        <f>Master!I161-P150-Q150-R150</f>
        <v>-197</v>
      </c>
      <c r="T150" s="177">
        <v>-200</v>
      </c>
      <c r="U150" s="177">
        <v>-200</v>
      </c>
      <c r="V150" s="177">
        <v>-200</v>
      </c>
      <c r="W150" s="69">
        <f>Master!J161-T150-U150-V150</f>
        <v>-250</v>
      </c>
    </row>
    <row r="151" spans="3:23" x14ac:dyDescent="0.55000000000000004">
      <c r="C151" s="66" t="str">
        <f>Master!B162</f>
        <v>Lease expense</v>
      </c>
      <c r="D151" s="66"/>
      <c r="E151" s="66"/>
      <c r="F151" s="66"/>
      <c r="G151" s="66"/>
      <c r="H151" s="66"/>
      <c r="I151" s="66"/>
      <c r="J151" s="66"/>
      <c r="K151" s="66"/>
      <c r="L151" s="66">
        <v>23</v>
      </c>
      <c r="M151" s="66">
        <f>94-L151</f>
        <v>71</v>
      </c>
      <c r="N151" s="66">
        <f>114-M151</f>
        <v>43</v>
      </c>
      <c r="O151" s="69">
        <f>Master!H162-L151-M151-N151</f>
        <v>7</v>
      </c>
      <c r="P151" s="347">
        <v>15</v>
      </c>
      <c r="Q151" s="347">
        <f>31-P151</f>
        <v>16</v>
      </c>
      <c r="R151" s="177">
        <v>15</v>
      </c>
      <c r="S151" s="69">
        <f>Master!I162-P151-Q151-R151</f>
        <v>54</v>
      </c>
      <c r="T151" s="177">
        <v>16</v>
      </c>
      <c r="U151" s="177">
        <v>16</v>
      </c>
      <c r="V151" s="177">
        <v>16</v>
      </c>
      <c r="W151" s="69">
        <f>Master!J162-T151-U151-V151</f>
        <v>57</v>
      </c>
    </row>
    <row r="152" spans="3:23" x14ac:dyDescent="0.55000000000000004">
      <c r="C152" s="66" t="str">
        <f>Master!B163</f>
        <v>Share-based compensation</v>
      </c>
      <c r="D152" s="66"/>
      <c r="E152" s="66"/>
      <c r="F152" s="66"/>
      <c r="G152" s="66"/>
      <c r="H152" s="66"/>
      <c r="I152" s="66"/>
      <c r="J152" s="66"/>
      <c r="K152" s="66"/>
      <c r="L152" s="197">
        <f>-L143</f>
        <v>279.59100000000001</v>
      </c>
      <c r="M152" s="197">
        <f>-M143</f>
        <v>319.24799999999999</v>
      </c>
      <c r="N152" s="197">
        <f>-N143</f>
        <v>345.69</v>
      </c>
      <c r="O152" s="197">
        <f>-O143</f>
        <v>331.56799999999998</v>
      </c>
      <c r="P152" s="197">
        <f>-P143</f>
        <v>304.53100000000001</v>
      </c>
      <c r="Q152" s="69">
        <f t="shared" ref="Q152:W152" si="52">-Q143</f>
        <v>320.36799999999999</v>
      </c>
      <c r="R152" s="69">
        <f t="shared" si="52"/>
        <v>325</v>
      </c>
      <c r="S152" s="69">
        <f t="shared" si="52"/>
        <v>326.19800000000009</v>
      </c>
      <c r="T152" s="69">
        <f t="shared" si="52"/>
        <v>325</v>
      </c>
      <c r="U152" s="69">
        <f t="shared" si="52"/>
        <v>330</v>
      </c>
      <c r="V152" s="69">
        <f t="shared" si="52"/>
        <v>335</v>
      </c>
      <c r="W152" s="69">
        <f t="shared" si="52"/>
        <v>317.99942499999997</v>
      </c>
    </row>
    <row r="153" spans="3:23" x14ac:dyDescent="0.55000000000000004">
      <c r="C153" s="66" t="str">
        <f>Master!B164</f>
        <v>Loss / gain on equity</v>
      </c>
      <c r="D153" s="66"/>
      <c r="E153" s="66"/>
      <c r="F153" s="66"/>
      <c r="G153" s="66"/>
      <c r="H153" s="66"/>
      <c r="I153" s="66"/>
      <c r="J153" s="66"/>
      <c r="K153" s="66"/>
      <c r="L153" s="66">
        <v>14</v>
      </c>
      <c r="M153" s="66">
        <f>16-L153</f>
        <v>2</v>
      </c>
      <c r="N153" s="66">
        <f>17-M153</f>
        <v>15</v>
      </c>
      <c r="O153" s="69">
        <f>Master!H164-L153-M153-N153</f>
        <v>-15</v>
      </c>
      <c r="P153" s="347">
        <v>1</v>
      </c>
      <c r="Q153" s="69">
        <f>-2-P153</f>
        <v>-3</v>
      </c>
      <c r="R153" s="177">
        <v>1</v>
      </c>
      <c r="S153" s="69">
        <f>Master!I164-P153-Q153-R153</f>
        <v>1</v>
      </c>
      <c r="T153" s="177">
        <v>1</v>
      </c>
      <c r="U153" s="177">
        <v>1</v>
      </c>
      <c r="V153" s="177">
        <v>1</v>
      </c>
      <c r="W153" s="69">
        <f>Master!J164-T153-U153-V153</f>
        <v>-3</v>
      </c>
    </row>
    <row r="154" spans="3:23" x14ac:dyDescent="0.55000000000000004">
      <c r="C154" s="66" t="str">
        <f>Master!B165</f>
        <v>Bitcoin rebase</v>
      </c>
      <c r="D154" s="66"/>
      <c r="E154" s="66"/>
      <c r="F154" s="66"/>
      <c r="G154" s="66"/>
      <c r="H154" s="66"/>
      <c r="I154" s="66"/>
      <c r="J154" s="66"/>
      <c r="K154" s="66"/>
      <c r="L154" s="197">
        <f>L117</f>
        <v>0</v>
      </c>
      <c r="M154" s="197">
        <f>M117</f>
        <v>0</v>
      </c>
      <c r="N154" s="197">
        <f>N117</f>
        <v>0</v>
      </c>
      <c r="O154" s="197">
        <f>O117</f>
        <v>-207.084</v>
      </c>
      <c r="P154" s="197">
        <f>P117</f>
        <v>-233.404</v>
      </c>
      <c r="Q154" s="69">
        <f t="shared" ref="Q154:W154" si="53">Q117</f>
        <v>70.116</v>
      </c>
      <c r="R154" s="69">
        <f t="shared" si="53"/>
        <v>0</v>
      </c>
      <c r="S154" s="69">
        <f t="shared" si="53"/>
        <v>0.2879999999999967</v>
      </c>
      <c r="T154" s="69">
        <f t="shared" si="53"/>
        <v>0</v>
      </c>
      <c r="U154" s="69">
        <f t="shared" si="53"/>
        <v>0</v>
      </c>
      <c r="V154" s="69">
        <f t="shared" si="53"/>
        <v>0</v>
      </c>
      <c r="W154" s="69">
        <f t="shared" si="53"/>
        <v>0</v>
      </c>
    </row>
    <row r="155" spans="3:23" x14ac:dyDescent="0.55000000000000004">
      <c r="C155" s="66" t="str">
        <f>Master!B166</f>
        <v>Loan / transaction losses</v>
      </c>
      <c r="D155" s="66"/>
      <c r="E155" s="66"/>
      <c r="F155" s="66"/>
      <c r="G155" s="66"/>
      <c r="H155" s="66"/>
      <c r="I155" s="66"/>
      <c r="J155" s="66"/>
      <c r="K155" s="66"/>
      <c r="L155" s="197">
        <f>L74</f>
        <v>127.896</v>
      </c>
      <c r="M155" s="197">
        <f>M74</f>
        <v>179.77099999999999</v>
      </c>
      <c r="N155" s="197">
        <f>N74</f>
        <v>177.33799999999999</v>
      </c>
      <c r="O155" s="197">
        <f>O74</f>
        <v>175.65799999999999</v>
      </c>
      <c r="P155" s="197">
        <f>P74</f>
        <v>165.72900000000001</v>
      </c>
      <c r="Q155" s="69">
        <f t="shared" ref="Q155:W155" si="54">Q74</f>
        <v>191.81200000000001</v>
      </c>
      <c r="R155" s="69">
        <f t="shared" si="54"/>
        <v>200</v>
      </c>
      <c r="S155" s="69">
        <f t="shared" si="54"/>
        <v>222.45899999999995</v>
      </c>
      <c r="T155" s="69">
        <f t="shared" si="54"/>
        <v>200</v>
      </c>
      <c r="U155" s="69">
        <f t="shared" si="54"/>
        <v>215</v>
      </c>
      <c r="V155" s="69">
        <f t="shared" si="54"/>
        <v>225</v>
      </c>
      <c r="W155" s="69">
        <f t="shared" si="54"/>
        <v>244.66477220071602</v>
      </c>
    </row>
    <row r="156" spans="3:23" x14ac:dyDescent="0.55000000000000004">
      <c r="C156" s="66" t="str">
        <f>Master!B167</f>
        <v>Goodwill impairment</v>
      </c>
      <c r="D156" s="66"/>
      <c r="E156" s="66"/>
      <c r="F156" s="66"/>
      <c r="G156" s="66"/>
      <c r="H156" s="66"/>
      <c r="I156" s="66"/>
      <c r="J156" s="66"/>
      <c r="K156" s="66"/>
      <c r="L156" s="197">
        <f>L88</f>
        <v>0</v>
      </c>
      <c r="M156" s="197">
        <f>M88</f>
        <v>0</v>
      </c>
      <c r="N156" s="197">
        <f>N88</f>
        <v>0</v>
      </c>
      <c r="O156" s="197">
        <f>O88</f>
        <v>132.31299999999999</v>
      </c>
      <c r="P156" s="197">
        <f>P88</f>
        <v>0</v>
      </c>
      <c r="Q156" s="69">
        <f t="shared" ref="Q156:W156" si="55">Q88</f>
        <v>0</v>
      </c>
      <c r="R156" s="69">
        <f t="shared" si="55"/>
        <v>0</v>
      </c>
      <c r="S156" s="69">
        <f t="shared" si="55"/>
        <v>0</v>
      </c>
      <c r="T156" s="69">
        <f t="shared" si="55"/>
        <v>0</v>
      </c>
      <c r="U156" s="69">
        <f t="shared" si="55"/>
        <v>0</v>
      </c>
      <c r="V156" s="69">
        <f t="shared" si="55"/>
        <v>0</v>
      </c>
      <c r="W156" s="69">
        <f t="shared" si="55"/>
        <v>0</v>
      </c>
    </row>
    <row r="157" spans="3:23" x14ac:dyDescent="0.55000000000000004">
      <c r="C157" s="66" t="str">
        <f>Master!B168</f>
        <v>Change in deferred taxes</v>
      </c>
      <c r="D157" s="66"/>
      <c r="E157" s="66"/>
      <c r="F157" s="66"/>
      <c r="G157" s="66"/>
      <c r="H157" s="66"/>
      <c r="I157" s="66"/>
      <c r="J157" s="66"/>
      <c r="K157" s="66"/>
      <c r="L157" s="66">
        <v>-20</v>
      </c>
      <c r="M157" s="66">
        <v>-20</v>
      </c>
      <c r="N157" s="66">
        <v>-20</v>
      </c>
      <c r="O157" s="69">
        <f>Master!H168-L157-M157-N157</f>
        <v>-26</v>
      </c>
      <c r="P157" s="347">
        <v>-7</v>
      </c>
      <c r="Q157" s="347">
        <f>4-P157</f>
        <v>11</v>
      </c>
      <c r="R157" s="177">
        <v>0</v>
      </c>
      <c r="S157" s="69">
        <f>Master!I168-P157-Q157-R157</f>
        <v>-4</v>
      </c>
      <c r="T157" s="177">
        <v>0</v>
      </c>
      <c r="U157" s="177">
        <v>0</v>
      </c>
      <c r="V157" s="177">
        <v>0</v>
      </c>
      <c r="W157" s="69">
        <f>Master!J168-T157-U157-V157</f>
        <v>0</v>
      </c>
    </row>
    <row r="158" spans="3:23" x14ac:dyDescent="0.55000000000000004">
      <c r="C158" s="66"/>
      <c r="D158" s="66"/>
      <c r="E158" s="66"/>
      <c r="F158" s="66"/>
      <c r="G158" s="66"/>
      <c r="H158" s="66"/>
      <c r="I158" s="66"/>
      <c r="J158" s="66"/>
      <c r="K158" s="66"/>
      <c r="L158" s="66"/>
      <c r="M158" s="66"/>
      <c r="N158" s="66"/>
      <c r="O158" s="66"/>
      <c r="P158" s="66"/>
    </row>
    <row r="159" spans="3:23" x14ac:dyDescent="0.55000000000000004">
      <c r="C159" s="220" t="str">
        <f>Master!B170</f>
        <v>Working capital</v>
      </c>
      <c r="D159" s="66"/>
      <c r="E159" s="66"/>
      <c r="F159" s="66"/>
      <c r="G159" s="66"/>
      <c r="H159" s="66"/>
      <c r="I159" s="66"/>
      <c r="J159" s="66"/>
      <c r="K159" s="66"/>
      <c r="L159" s="66"/>
      <c r="M159" s="66"/>
      <c r="N159" s="66"/>
      <c r="O159" s="66"/>
      <c r="P159" s="66"/>
    </row>
    <row r="160" spans="3:23" x14ac:dyDescent="0.55000000000000004">
      <c r="C160" s="66" t="str">
        <f>Master!B171</f>
        <v>Settlments receivable</v>
      </c>
      <c r="D160" s="66"/>
      <c r="E160" s="66"/>
      <c r="F160" s="66"/>
      <c r="G160" s="66"/>
      <c r="H160" s="66"/>
      <c r="I160" s="66"/>
      <c r="J160" s="66"/>
      <c r="K160" s="66"/>
      <c r="L160" s="66">
        <v>453</v>
      </c>
      <c r="M160" s="66">
        <f>204-L160</f>
        <v>-249</v>
      </c>
      <c r="N160" s="66">
        <f>-1519-L160-M160</f>
        <v>-1723</v>
      </c>
      <c r="O160" s="69">
        <f>Master!H171-L160-M160-N160</f>
        <v>411</v>
      </c>
      <c r="P160" s="66">
        <v>-542</v>
      </c>
      <c r="Q160" s="66">
        <f>-829-P160</f>
        <v>-287</v>
      </c>
      <c r="R160" s="66"/>
      <c r="S160" s="66" t="s">
        <v>371</v>
      </c>
      <c r="T160" s="66"/>
      <c r="U160" s="66"/>
      <c r="V160" s="66"/>
      <c r="W160" s="66"/>
    </row>
    <row r="161" spans="3:23" x14ac:dyDescent="0.55000000000000004">
      <c r="C161" s="66" t="str">
        <f>Master!B172</f>
        <v>Purchases, loans orginations</v>
      </c>
      <c r="D161" s="66"/>
      <c r="E161" s="66"/>
      <c r="F161" s="66"/>
      <c r="G161" s="66"/>
      <c r="H161" s="66"/>
      <c r="I161" s="66"/>
      <c r="J161" s="66"/>
      <c r="K161" s="66"/>
      <c r="L161" s="66">
        <v>-1834</v>
      </c>
      <c r="M161" s="66">
        <f>-3771-L161</f>
        <v>-1937</v>
      </c>
      <c r="N161" s="66">
        <f>-5896-L161-M161</f>
        <v>-2125</v>
      </c>
      <c r="O161" s="69">
        <f>Master!H172-L161-M161-N161</f>
        <v>-2690</v>
      </c>
      <c r="P161" s="66">
        <v>-3011</v>
      </c>
      <c r="Q161" s="66">
        <f>-6911-P161</f>
        <v>-3900</v>
      </c>
      <c r="R161" s="66"/>
      <c r="S161" s="66"/>
      <c r="T161" s="66"/>
      <c r="U161" s="66"/>
      <c r="V161" s="66"/>
      <c r="W161" s="66"/>
    </row>
    <row r="162" spans="3:23" x14ac:dyDescent="0.55000000000000004">
      <c r="C162" s="66" t="str">
        <f>Master!B173</f>
        <v>Payment, loan forgiveness</v>
      </c>
      <c r="D162" s="66"/>
      <c r="E162" s="66"/>
      <c r="F162" s="66"/>
      <c r="G162" s="66"/>
      <c r="H162" s="66"/>
      <c r="I162" s="66"/>
      <c r="J162" s="66"/>
      <c r="K162" s="66"/>
      <c r="L162" s="66">
        <v>1753</v>
      </c>
      <c r="M162" s="66">
        <f>3591-L162</f>
        <v>1838</v>
      </c>
      <c r="N162" s="66">
        <f>5575-L162-M162</f>
        <v>1984</v>
      </c>
      <c r="O162" s="69">
        <f>Master!H173-L162-M162-N162</f>
        <v>2457</v>
      </c>
      <c r="P162" s="66">
        <v>2825</v>
      </c>
      <c r="Q162" s="66">
        <f>6585-P162</f>
        <v>3760</v>
      </c>
      <c r="R162" s="66"/>
      <c r="S162" s="66"/>
      <c r="T162" s="66"/>
      <c r="U162" s="66"/>
      <c r="V162" s="66"/>
      <c r="W162" s="66"/>
    </row>
    <row r="163" spans="3:23" x14ac:dyDescent="0.55000000000000004">
      <c r="C163" s="66" t="str">
        <f>Master!B174</f>
        <v>Customers payable</v>
      </c>
      <c r="D163" s="66"/>
      <c r="E163" s="66"/>
      <c r="F163" s="66"/>
      <c r="G163" s="66"/>
      <c r="H163" s="66"/>
      <c r="I163" s="66"/>
      <c r="J163" s="66"/>
      <c r="K163" s="66"/>
      <c r="L163" s="66">
        <v>-419</v>
      </c>
      <c r="M163" s="66">
        <f>-185-L163</f>
        <v>234</v>
      </c>
      <c r="N163" s="66">
        <f>1391-L163-M163</f>
        <v>1576</v>
      </c>
      <c r="O163" s="69">
        <f>Master!H174-L163-M163-N163</f>
        <v>-134</v>
      </c>
      <c r="P163" s="66">
        <v>466</v>
      </c>
      <c r="Q163" s="66">
        <f>872-P163</f>
        <v>406</v>
      </c>
      <c r="R163" s="66"/>
      <c r="S163" s="66"/>
      <c r="T163" s="66"/>
      <c r="U163" s="66"/>
      <c r="V163" s="66"/>
      <c r="W163" s="66"/>
    </row>
    <row r="164" spans="3:23" x14ac:dyDescent="0.55000000000000004">
      <c r="C164" s="66" t="str">
        <f>Master!B175</f>
        <v>Settlements payable</v>
      </c>
      <c r="D164" s="66"/>
      <c r="E164" s="66"/>
      <c r="F164" s="66"/>
      <c r="G164" s="66"/>
      <c r="H164" s="66"/>
      <c r="I164" s="66"/>
      <c r="J164" s="66"/>
      <c r="K164" s="66"/>
      <c r="L164" s="66">
        <v>-64</v>
      </c>
      <c r="M164" s="66">
        <f>-139-L164</f>
        <v>-75</v>
      </c>
      <c r="N164" s="66">
        <f>53-L164-M164</f>
        <v>192</v>
      </c>
      <c r="O164" s="69">
        <f>Master!H175-L164-M164-N164</f>
        <v>-507</v>
      </c>
      <c r="P164" s="66">
        <v>-7</v>
      </c>
      <c r="Q164" s="66">
        <f>-8-P164</f>
        <v>-1</v>
      </c>
      <c r="R164" s="66"/>
      <c r="S164" s="66"/>
      <c r="T164" s="66"/>
      <c r="U164" s="66"/>
      <c r="V164" s="66"/>
      <c r="W164" s="66"/>
    </row>
    <row r="165" spans="3:23" x14ac:dyDescent="0.55000000000000004">
      <c r="C165" s="87" t="str">
        <f>Master!B176</f>
        <v>Other</v>
      </c>
      <c r="D165" s="87"/>
      <c r="E165" s="87"/>
      <c r="F165" s="87"/>
      <c r="G165" s="87"/>
      <c r="H165" s="87"/>
      <c r="I165" s="87"/>
      <c r="J165" s="87"/>
      <c r="K165" s="87"/>
      <c r="L165" s="87">
        <v>-49</v>
      </c>
      <c r="M165" s="87">
        <f>-194-L165</f>
        <v>-145</v>
      </c>
      <c r="N165" s="87">
        <f>53-L165-M165</f>
        <v>247</v>
      </c>
      <c r="O165" s="88">
        <f>Master!H176-L165-M165-N165</f>
        <v>-433</v>
      </c>
      <c r="P165" s="87">
        <v>205</v>
      </c>
      <c r="Q165" s="87">
        <f>124-P165</f>
        <v>-81</v>
      </c>
      <c r="R165" s="87"/>
      <c r="S165" s="87"/>
      <c r="T165" s="87"/>
      <c r="U165" s="87"/>
      <c r="V165" s="87"/>
      <c r="W165" s="87"/>
    </row>
    <row r="166" spans="3:23" x14ac:dyDescent="0.55000000000000004">
      <c r="C166" s="66" t="str">
        <f>Master!B177</f>
        <v>Working capital</v>
      </c>
      <c r="D166" s="66"/>
      <c r="E166" s="66"/>
      <c r="F166" s="66"/>
      <c r="G166" s="66"/>
      <c r="H166" s="66"/>
      <c r="I166" s="66"/>
      <c r="J166" s="66"/>
      <c r="K166" s="66"/>
      <c r="L166" s="66">
        <f>SUM(L160:L165)</f>
        <v>-160</v>
      </c>
      <c r="M166" s="66">
        <f>SUM(M160:M165)</f>
        <v>-334</v>
      </c>
      <c r="N166" s="66">
        <f>SUM(N160:N165)</f>
        <v>151</v>
      </c>
      <c r="O166" s="69">
        <f>Master!H177-L166-M166-N166</f>
        <v>-896</v>
      </c>
      <c r="P166" s="66">
        <f>SUM(P160:P165)</f>
        <v>-64</v>
      </c>
      <c r="Q166" s="66">
        <f>SUM(Q160:Q165)</f>
        <v>-103</v>
      </c>
      <c r="R166" s="177">
        <v>-150</v>
      </c>
      <c r="S166" s="69">
        <f>Master!I177-P166-Q166-R166</f>
        <v>-1033</v>
      </c>
      <c r="T166" s="177">
        <v>-100</v>
      </c>
      <c r="U166" s="177">
        <v>-200</v>
      </c>
      <c r="V166" s="177">
        <v>-150</v>
      </c>
      <c r="W166" s="69">
        <f>Master!J177-T166-U166-V166</f>
        <v>-967.5</v>
      </c>
    </row>
    <row r="167" spans="3:23" x14ac:dyDescent="0.55000000000000004">
      <c r="C167" s="66" t="str">
        <f>Master!B178</f>
        <v xml:space="preserve"> of which settlement receivable, payable, customers payable</v>
      </c>
      <c r="D167" s="66"/>
      <c r="E167" s="66"/>
      <c r="F167" s="66"/>
      <c r="G167" s="66"/>
      <c r="H167" s="66"/>
      <c r="I167" s="66"/>
      <c r="J167" s="66"/>
      <c r="K167" s="66"/>
      <c r="L167" s="69">
        <f t="shared" ref="L167:Q167" si="56">L160+L163+L164</f>
        <v>-30</v>
      </c>
      <c r="M167" s="69">
        <f t="shared" si="56"/>
        <v>-90</v>
      </c>
      <c r="N167" s="69">
        <f t="shared" si="56"/>
        <v>45</v>
      </c>
      <c r="O167" s="69">
        <f t="shared" si="56"/>
        <v>-230</v>
      </c>
      <c r="P167" s="69">
        <f t="shared" si="56"/>
        <v>-83</v>
      </c>
      <c r="Q167" s="69">
        <f t="shared" si="56"/>
        <v>118</v>
      </c>
      <c r="R167" s="177">
        <v>100</v>
      </c>
      <c r="S167" s="69">
        <f>Master!I178-P167-Q167-R167</f>
        <v>-440</v>
      </c>
      <c r="T167" s="177">
        <v>-75</v>
      </c>
      <c r="U167" s="177">
        <v>100</v>
      </c>
      <c r="V167" s="177">
        <v>100</v>
      </c>
      <c r="W167" s="69">
        <f>Master!J178-T167-U167-V167</f>
        <v>-430</v>
      </c>
    </row>
    <row r="168" spans="3:23" x14ac:dyDescent="0.55000000000000004">
      <c r="C168" s="66" t="str">
        <f>Master!B179</f>
        <v xml:space="preserve"> of which other</v>
      </c>
      <c r="D168" s="66"/>
      <c r="E168" s="66"/>
      <c r="F168" s="66"/>
      <c r="G168" s="66"/>
      <c r="H168" s="66"/>
      <c r="I168" s="66"/>
      <c r="J168" s="66"/>
      <c r="K168" s="66"/>
      <c r="L168" s="69">
        <f t="shared" ref="L168:R168" si="57">L166-L167</f>
        <v>-130</v>
      </c>
      <c r="M168" s="69">
        <f t="shared" si="57"/>
        <v>-244</v>
      </c>
      <c r="N168" s="69">
        <f t="shared" si="57"/>
        <v>106</v>
      </c>
      <c r="O168" s="69">
        <f t="shared" si="57"/>
        <v>-666</v>
      </c>
      <c r="P168" s="69">
        <f t="shared" si="57"/>
        <v>19</v>
      </c>
      <c r="Q168" s="69">
        <f t="shared" si="57"/>
        <v>-221</v>
      </c>
      <c r="R168" s="69">
        <f t="shared" si="57"/>
        <v>-250</v>
      </c>
      <c r="S168" s="69">
        <f>Master!I179-P168-Q168-R168</f>
        <v>-593</v>
      </c>
      <c r="T168" s="69">
        <f>T166-T167</f>
        <v>-25</v>
      </c>
      <c r="U168" s="69">
        <f>U166-U167</f>
        <v>-300</v>
      </c>
      <c r="V168" s="69">
        <f>V166-V167</f>
        <v>-250</v>
      </c>
      <c r="W168" s="69">
        <f>Master!J179-T168-U168-V168</f>
        <v>-537.5</v>
      </c>
    </row>
    <row r="169" spans="3:23" x14ac:dyDescent="0.55000000000000004">
      <c r="C169" s="66"/>
      <c r="D169" s="66"/>
      <c r="E169" s="66"/>
      <c r="F169" s="66"/>
      <c r="G169" s="66"/>
      <c r="H169" s="66"/>
      <c r="I169" s="66"/>
      <c r="J169" s="66"/>
      <c r="K169" s="66"/>
      <c r="L169" s="66"/>
      <c r="M169" s="66"/>
      <c r="N169" s="66"/>
      <c r="O169" s="66"/>
      <c r="P169" s="177"/>
      <c r="Q169" s="177"/>
      <c r="R169" s="177"/>
      <c r="S169" s="177"/>
      <c r="T169" s="177"/>
      <c r="U169" s="177"/>
      <c r="V169" s="177"/>
      <c r="W169" s="177"/>
    </row>
    <row r="170" spans="3:23" x14ac:dyDescent="0.55000000000000004">
      <c r="C170" s="66" t="str">
        <f>Master!B181</f>
        <v>Cash from operating activities</v>
      </c>
      <c r="D170" s="66"/>
      <c r="E170" s="66"/>
      <c r="F170" s="66"/>
      <c r="G170" s="66"/>
      <c r="H170" s="66"/>
      <c r="I170" s="66"/>
      <c r="J170" s="66"/>
      <c r="K170" s="66"/>
      <c r="L170" s="140">
        <f t="shared" ref="L170:Q170" si="58">SUM(L148:L157)+L166</f>
        <v>253.334</v>
      </c>
      <c r="M170" s="140">
        <f t="shared" si="58"/>
        <v>49.72199999999998</v>
      </c>
      <c r="N170" s="140">
        <f t="shared" si="58"/>
        <v>573.78599999999994</v>
      </c>
      <c r="O170" s="140">
        <f t="shared" si="58"/>
        <v>-776.41700000000003</v>
      </c>
      <c r="P170" s="140">
        <f t="shared" si="58"/>
        <v>483.31600000000003</v>
      </c>
      <c r="Q170" s="140">
        <f t="shared" si="58"/>
        <v>520.07100000000003</v>
      </c>
      <c r="R170" s="140">
        <f t="shared" ref="R170:W170" si="59">SUM(R148:R157)+R166</f>
        <v>510</v>
      </c>
      <c r="S170" s="140">
        <f t="shared" si="59"/>
        <v>22.686896741437977</v>
      </c>
      <c r="T170" s="140">
        <f t="shared" si="59"/>
        <v>667.5032057221747</v>
      </c>
      <c r="U170" s="140">
        <f t="shared" si="59"/>
        <v>683.60100480010533</v>
      </c>
      <c r="V170" s="140">
        <f t="shared" si="59"/>
        <v>799.17495940067579</v>
      </c>
      <c r="W170" s="140">
        <f t="shared" si="59"/>
        <v>118.70440038756919</v>
      </c>
    </row>
    <row r="171" spans="3:23" x14ac:dyDescent="0.55000000000000004">
      <c r="C171" s="66"/>
      <c r="D171" s="66"/>
      <c r="E171" s="66"/>
      <c r="F171" s="66"/>
      <c r="G171" s="66"/>
      <c r="H171" s="66"/>
      <c r="I171" s="66"/>
      <c r="J171" s="66"/>
      <c r="K171" s="66"/>
      <c r="L171" s="140"/>
      <c r="M171" s="140"/>
      <c r="N171" s="140"/>
      <c r="O171" s="140"/>
      <c r="P171" s="140"/>
      <c r="Q171" s="140"/>
      <c r="R171" s="140"/>
      <c r="S171" s="140"/>
      <c r="T171" s="140"/>
      <c r="U171" s="140"/>
      <c r="V171" s="140"/>
      <c r="W171" s="140"/>
    </row>
    <row r="172" spans="3:23" x14ac:dyDescent="0.55000000000000004">
      <c r="C172" s="66" t="str">
        <f>Master!B183</f>
        <v>Payments for originations of consumer receivables</v>
      </c>
      <c r="D172" s="66"/>
      <c r="E172" s="66"/>
      <c r="F172" s="66"/>
      <c r="G172" s="66"/>
      <c r="H172" s="66"/>
      <c r="I172" s="66"/>
      <c r="J172" s="66"/>
      <c r="K172" s="66"/>
      <c r="L172" s="140">
        <v>-6095</v>
      </c>
      <c r="M172" s="140">
        <f>-12866-L172</f>
        <v>-6771</v>
      </c>
      <c r="N172" s="140">
        <f>-16402-L172-M172</f>
        <v>-3536</v>
      </c>
      <c r="O172" s="140">
        <f>Master!H183-L172-M172-N172</f>
        <v>-7567</v>
      </c>
      <c r="P172" s="140">
        <v>-6095</v>
      </c>
      <c r="Q172" s="140">
        <f>-12866-P172</f>
        <v>-6771</v>
      </c>
      <c r="R172" s="140"/>
      <c r="S172" s="140"/>
      <c r="T172" s="140"/>
      <c r="U172" s="140"/>
      <c r="V172" s="140"/>
      <c r="W172" s="140"/>
    </row>
    <row r="173" spans="3:23" x14ac:dyDescent="0.55000000000000004">
      <c r="C173" s="66" t="str">
        <f>Master!B184</f>
        <v>Repayment and sales of consumer receivables</v>
      </c>
      <c r="D173" s="66"/>
      <c r="E173" s="66"/>
      <c r="F173" s="66"/>
      <c r="G173" s="66"/>
      <c r="H173" s="66"/>
      <c r="I173" s="66"/>
      <c r="J173" s="66"/>
      <c r="K173" s="66"/>
      <c r="L173" s="140">
        <v>6824</v>
      </c>
      <c r="M173" s="140">
        <f>13728-L173</f>
        <v>6904</v>
      </c>
      <c r="N173" s="140">
        <f>16814-L173-M173</f>
        <v>3086</v>
      </c>
      <c r="O173" s="140">
        <f>Master!H184-L173-M173-N173</f>
        <v>7428</v>
      </c>
      <c r="P173" s="140">
        <v>6824</v>
      </c>
      <c r="Q173" s="140">
        <f>13727-P173</f>
        <v>6903</v>
      </c>
      <c r="R173" s="140"/>
      <c r="S173" s="140"/>
      <c r="T173" s="140"/>
      <c r="U173" s="140"/>
      <c r="V173" s="140"/>
      <c r="W173" s="140"/>
    </row>
    <row r="174" spans="3:23" x14ac:dyDescent="0.55000000000000004">
      <c r="C174" s="87" t="str">
        <f>Master!B185</f>
        <v>Sales, principal payments, PPP forgiveness</v>
      </c>
      <c r="D174" s="87"/>
      <c r="E174" s="87"/>
      <c r="F174" s="87"/>
      <c r="G174" s="87"/>
      <c r="H174" s="87"/>
      <c r="I174" s="87"/>
      <c r="J174" s="87"/>
      <c r="K174" s="87"/>
      <c r="L174" s="235">
        <v>-2</v>
      </c>
      <c r="M174" s="235">
        <v>-5</v>
      </c>
      <c r="N174" s="235">
        <f>-13-L174-M174</f>
        <v>-6</v>
      </c>
      <c r="O174" s="235">
        <f>Master!H185-L174-M174-N174</f>
        <v>-1</v>
      </c>
      <c r="P174" s="235">
        <v>-11</v>
      </c>
      <c r="Q174" s="235">
        <f>-8-N174-O174-P174</f>
        <v>10</v>
      </c>
      <c r="R174" s="235"/>
      <c r="S174" s="235"/>
      <c r="T174" s="235"/>
      <c r="U174" s="235"/>
      <c r="V174" s="235"/>
      <c r="W174" s="235"/>
    </row>
    <row r="175" spans="3:23" x14ac:dyDescent="0.55000000000000004">
      <c r="C175" s="66" t="str">
        <f>Master!B186</f>
        <v>Total other</v>
      </c>
      <c r="D175" s="66"/>
      <c r="E175" s="66"/>
      <c r="F175" s="66"/>
      <c r="G175" s="66"/>
      <c r="H175" s="66"/>
      <c r="I175" s="66"/>
      <c r="J175" s="66"/>
      <c r="K175" s="66"/>
      <c r="L175" s="69">
        <f t="shared" ref="L175:Q175" si="60">SUM(L172:L174)</f>
        <v>727</v>
      </c>
      <c r="M175" s="69">
        <f t="shared" si="60"/>
        <v>128</v>
      </c>
      <c r="N175" s="69">
        <f t="shared" si="60"/>
        <v>-456</v>
      </c>
      <c r="O175" s="69">
        <f t="shared" si="60"/>
        <v>-140</v>
      </c>
      <c r="P175" s="69">
        <f t="shared" si="60"/>
        <v>718</v>
      </c>
      <c r="Q175" s="69">
        <f t="shared" si="60"/>
        <v>142</v>
      </c>
      <c r="R175" s="191">
        <v>-450</v>
      </c>
      <c r="S175" s="69">
        <f>Master!I186-P175-Q175-R175</f>
        <v>-151</v>
      </c>
      <c r="T175" s="191">
        <v>750</v>
      </c>
      <c r="U175" s="191">
        <v>150</v>
      </c>
      <c r="V175" s="191">
        <v>-150</v>
      </c>
      <c r="W175" s="69">
        <f>Master!J186-T175-U175-V175</f>
        <v>-491</v>
      </c>
    </row>
    <row r="176" spans="3:23" x14ac:dyDescent="0.55000000000000004">
      <c r="C176" s="66"/>
      <c r="D176" s="66"/>
      <c r="E176" s="66"/>
      <c r="F176" s="66"/>
      <c r="G176" s="66"/>
      <c r="H176" s="66"/>
      <c r="I176" s="66"/>
      <c r="J176" s="66"/>
      <c r="K176" s="66"/>
      <c r="L176" s="140"/>
      <c r="M176" s="140"/>
      <c r="N176" s="140"/>
      <c r="O176" s="140"/>
      <c r="P176" s="140"/>
      <c r="Q176" s="140"/>
      <c r="R176" s="140"/>
      <c r="S176" s="140"/>
      <c r="T176" s="140"/>
      <c r="U176" s="140"/>
      <c r="V176" s="140"/>
      <c r="W176" s="140"/>
    </row>
    <row r="177" spans="3:23" x14ac:dyDescent="0.55000000000000004">
      <c r="C177" s="66" t="str">
        <f>Master!B188</f>
        <v>Capex</v>
      </c>
      <c r="D177" s="66"/>
      <c r="E177" s="66"/>
      <c r="F177" s="66"/>
      <c r="G177" s="66"/>
      <c r="H177" s="66"/>
      <c r="I177" s="66"/>
      <c r="J177" s="66"/>
      <c r="K177" s="66"/>
      <c r="L177" s="140">
        <v>32</v>
      </c>
      <c r="M177" s="140">
        <v>32</v>
      </c>
      <c r="N177" s="140">
        <f>99-L177-M177</f>
        <v>35</v>
      </c>
      <c r="O177" s="69">
        <f>Master!H188-L177-M177-N177</f>
        <v>52</v>
      </c>
      <c r="P177" s="140">
        <v>32</v>
      </c>
      <c r="Q177" s="140">
        <f>70-P177</f>
        <v>38</v>
      </c>
      <c r="R177" s="213">
        <v>40</v>
      </c>
      <c r="S177" s="69">
        <f>Master!I188-P177-Q177-R177</f>
        <v>50.153360894359508</v>
      </c>
      <c r="T177" s="213">
        <v>45</v>
      </c>
      <c r="U177" s="213">
        <v>50</v>
      </c>
      <c r="V177" s="213">
        <v>55</v>
      </c>
      <c r="W177" s="69">
        <f>Master!J188-T177-U177-V177</f>
        <v>32.978984637905029</v>
      </c>
    </row>
    <row r="178" spans="3:23" x14ac:dyDescent="0.55000000000000004">
      <c r="C178" s="66" t="str">
        <f>Master!B189</f>
        <v>as % gross profit</v>
      </c>
      <c r="D178" s="66"/>
      <c r="E178" s="66"/>
      <c r="F178" s="66"/>
      <c r="G178" s="66"/>
      <c r="H178" s="66"/>
      <c r="I178" s="66"/>
      <c r="J178" s="66"/>
      <c r="K178" s="66"/>
      <c r="L178" s="171">
        <f t="shared" ref="L178:W178" si="61">L177/L60</f>
        <v>1.8663419231720348E-2</v>
      </c>
      <c r="M178" s="171">
        <f t="shared" si="61"/>
        <v>1.7148053615533135E-2</v>
      </c>
      <c r="N178" s="171">
        <f t="shared" si="61"/>
        <v>1.8436102312993394E-2</v>
      </c>
      <c r="O178" s="171">
        <f t="shared" si="61"/>
        <v>2.5669479778373663E-2</v>
      </c>
      <c r="P178" s="171">
        <f t="shared" si="61"/>
        <v>1.5278306285160992E-2</v>
      </c>
      <c r="Q178" s="171">
        <f t="shared" si="61"/>
        <v>1.7013808048426671E-2</v>
      </c>
      <c r="R178" s="171">
        <f t="shared" si="61"/>
        <v>1.7866728483456367E-2</v>
      </c>
      <c r="S178" s="171">
        <f t="shared" si="61"/>
        <v>2.1518973199615515E-2</v>
      </c>
      <c r="T178" s="171">
        <f t="shared" si="61"/>
        <v>1.9036284312482388E-2</v>
      </c>
      <c r="U178" s="171">
        <f t="shared" si="61"/>
        <v>1.9546482329344209E-2</v>
      </c>
      <c r="V178" s="171">
        <f t="shared" si="61"/>
        <v>2.1523548492625114E-2</v>
      </c>
      <c r="W178" s="171">
        <f t="shared" si="61"/>
        <v>1.2267841579974991E-2</v>
      </c>
    </row>
    <row r="179" spans="3:23" x14ac:dyDescent="0.55000000000000004">
      <c r="C179" s="66"/>
      <c r="D179" s="66"/>
      <c r="E179" s="66"/>
      <c r="F179" s="66"/>
      <c r="G179" s="66"/>
      <c r="H179" s="66"/>
      <c r="I179" s="66"/>
      <c r="J179" s="66"/>
      <c r="K179" s="66"/>
      <c r="L179" s="140"/>
      <c r="M179" s="140"/>
      <c r="N179" s="140"/>
      <c r="O179" s="140"/>
      <c r="P179" s="140"/>
      <c r="Q179" s="140"/>
      <c r="R179" s="140"/>
      <c r="S179" s="140"/>
      <c r="T179" s="140"/>
      <c r="U179" s="140"/>
      <c r="V179" s="140"/>
      <c r="W179" s="140"/>
    </row>
    <row r="180" spans="3:23" x14ac:dyDescent="0.55000000000000004">
      <c r="C180" s="67" t="str">
        <f>Master!B191</f>
        <v>Adjusted FCF</v>
      </c>
      <c r="D180" s="67"/>
      <c r="E180" s="67"/>
      <c r="F180" s="67"/>
      <c r="G180" s="67"/>
      <c r="H180" s="67"/>
      <c r="I180" s="67"/>
      <c r="J180" s="67"/>
      <c r="K180" s="67"/>
      <c r="L180" s="86">
        <f t="shared" ref="L180:Q180" si="62">L170-L167+L175-L177</f>
        <v>978.33400000000006</v>
      </c>
      <c r="M180" s="86">
        <f t="shared" si="62"/>
        <v>235.72199999999998</v>
      </c>
      <c r="N180" s="86">
        <f t="shared" si="62"/>
        <v>37.785999999999945</v>
      </c>
      <c r="O180" s="86">
        <f t="shared" si="62"/>
        <v>-738.41700000000003</v>
      </c>
      <c r="P180" s="86">
        <f t="shared" si="62"/>
        <v>1252.316</v>
      </c>
      <c r="Q180" s="86">
        <f t="shared" si="62"/>
        <v>506.07100000000003</v>
      </c>
      <c r="R180" s="86">
        <f t="shared" ref="R180:W180" si="63">R170-R167+R175-R177</f>
        <v>-80</v>
      </c>
      <c r="S180" s="86">
        <f t="shared" si="63"/>
        <v>261.5335358470785</v>
      </c>
      <c r="T180" s="86">
        <f t="shared" si="63"/>
        <v>1447.5032057221747</v>
      </c>
      <c r="U180" s="86">
        <f t="shared" si="63"/>
        <v>683.60100480010533</v>
      </c>
      <c r="V180" s="86">
        <f>V170-V167+V175-V177</f>
        <v>494.17495940067579</v>
      </c>
      <c r="W180" s="86">
        <f t="shared" si="63"/>
        <v>24.725415749664165</v>
      </c>
    </row>
    <row r="181" spans="3:23" x14ac:dyDescent="0.55000000000000004">
      <c r="C181" s="66" t="s">
        <v>1239</v>
      </c>
      <c r="D181" s="66"/>
      <c r="E181" s="66"/>
      <c r="F181" s="66"/>
      <c r="G181" s="66"/>
      <c r="H181" s="66"/>
      <c r="I181" s="66"/>
      <c r="J181" s="66"/>
      <c r="K181" s="66"/>
      <c r="O181" s="69">
        <f>SUM(L180:O180)</f>
        <v>513.42500000000007</v>
      </c>
      <c r="P181" s="69">
        <f>SUM(M180:P180)</f>
        <v>787.40699999999993</v>
      </c>
      <c r="Q181" s="69">
        <f>SUM(N180:Q180)</f>
        <v>1057.7559999999999</v>
      </c>
      <c r="R181" s="69">
        <f t="shared" ref="R181:W181" si="64">SUM(O180:R180)</f>
        <v>939.97</v>
      </c>
      <c r="S181" s="69">
        <f t="shared" si="64"/>
        <v>1939.9205358470786</v>
      </c>
      <c r="T181" s="69">
        <f t="shared" si="64"/>
        <v>2135.1077415692534</v>
      </c>
      <c r="U181" s="69">
        <f t="shared" si="64"/>
        <v>2312.6377463693584</v>
      </c>
      <c r="V181" s="69">
        <f t="shared" si="64"/>
        <v>2886.812705770034</v>
      </c>
      <c r="W181" s="69">
        <f t="shared" si="64"/>
        <v>2650.0045856726197</v>
      </c>
    </row>
    <row r="182" spans="3:23" x14ac:dyDescent="0.55000000000000004">
      <c r="C182" s="66" t="s">
        <v>1056</v>
      </c>
      <c r="D182" s="67"/>
      <c r="E182" s="67"/>
      <c r="F182" s="67"/>
      <c r="G182" s="67"/>
      <c r="H182" s="67"/>
      <c r="I182" s="67"/>
      <c r="J182" s="67"/>
      <c r="K182" s="67"/>
      <c r="O182" s="69">
        <v>513</v>
      </c>
      <c r="P182" s="69">
        <v>1067</v>
      </c>
      <c r="Q182" s="69">
        <v>1431</v>
      </c>
    </row>
    <row r="183" spans="3:23" x14ac:dyDescent="0.55000000000000004">
      <c r="C183" s="66"/>
      <c r="D183" s="66"/>
      <c r="E183" s="66"/>
      <c r="F183" s="66"/>
      <c r="G183" s="66"/>
      <c r="H183" s="66"/>
      <c r="I183" s="66"/>
      <c r="J183" s="66"/>
      <c r="K183" s="66"/>
      <c r="L183" s="66"/>
      <c r="M183" s="66"/>
      <c r="N183" s="66"/>
      <c r="O183" s="66"/>
      <c r="P183" s="66"/>
    </row>
    <row r="184" spans="3:23" x14ac:dyDescent="0.55000000000000004">
      <c r="C184" s="66"/>
      <c r="D184" s="66"/>
      <c r="E184" s="66"/>
      <c r="F184" s="66"/>
      <c r="G184" s="66"/>
      <c r="H184" s="66"/>
      <c r="I184" s="66"/>
      <c r="J184" s="66"/>
      <c r="K184" s="66"/>
      <c r="L184" s="66"/>
      <c r="M184" s="66"/>
      <c r="N184" s="66"/>
      <c r="O184" s="66"/>
      <c r="P184" s="66"/>
    </row>
    <row r="185" spans="3:23" x14ac:dyDescent="0.55000000000000004">
      <c r="C185" s="66"/>
      <c r="D185" s="66"/>
      <c r="E185" s="66"/>
      <c r="F185" s="66"/>
      <c r="G185" s="66"/>
      <c r="H185" s="66"/>
      <c r="I185" s="66"/>
      <c r="J185" s="66"/>
      <c r="K185" s="66"/>
      <c r="L185" s="66"/>
      <c r="M185" s="66"/>
      <c r="N185" s="66"/>
      <c r="O185" s="66"/>
      <c r="P185" s="66"/>
    </row>
    <row r="186" spans="3:23" x14ac:dyDescent="0.55000000000000004">
      <c r="C186" s="66"/>
      <c r="D186" s="66"/>
      <c r="E186" s="66"/>
      <c r="F186" s="66"/>
      <c r="G186" s="66"/>
      <c r="H186" s="66"/>
      <c r="I186" s="66"/>
      <c r="J186" s="66"/>
      <c r="K186" s="66"/>
      <c r="L186" s="66"/>
      <c r="M186" s="66"/>
      <c r="N186" s="66"/>
      <c r="O186" s="66"/>
      <c r="P186" s="66"/>
    </row>
    <row r="187" spans="3:23" x14ac:dyDescent="0.55000000000000004">
      <c r="C187" s="66"/>
      <c r="D187" s="66"/>
      <c r="E187" s="66"/>
      <c r="F187" s="66"/>
      <c r="G187" s="66"/>
      <c r="H187" s="66"/>
      <c r="I187" s="66"/>
      <c r="J187" s="66"/>
      <c r="K187" s="66"/>
      <c r="L187" s="66"/>
      <c r="M187" s="66"/>
      <c r="N187" s="66"/>
      <c r="O187" s="66"/>
      <c r="P187" s="66"/>
    </row>
    <row r="188" spans="3:23" x14ac:dyDescent="0.55000000000000004">
      <c r="C188" s="66"/>
      <c r="D188" s="66"/>
      <c r="E188" s="66"/>
      <c r="F188" s="66"/>
      <c r="G188" s="66"/>
      <c r="H188" s="66"/>
      <c r="I188" s="66"/>
      <c r="J188" s="66"/>
      <c r="K188" s="66"/>
      <c r="L188" s="66"/>
      <c r="M188" s="66"/>
      <c r="N188" s="66"/>
      <c r="O188" s="66"/>
      <c r="P188" s="66"/>
    </row>
    <row r="189" spans="3:23" x14ac:dyDescent="0.55000000000000004">
      <c r="C189" s="66"/>
      <c r="D189" s="66"/>
      <c r="E189" s="66"/>
      <c r="F189" s="66"/>
      <c r="G189" s="66"/>
      <c r="H189" s="66"/>
      <c r="I189" s="66"/>
      <c r="J189" s="66"/>
      <c r="K189" s="66"/>
      <c r="L189" s="66"/>
      <c r="M189" s="66"/>
      <c r="N189" s="66"/>
      <c r="O189" s="66"/>
      <c r="P189" s="66"/>
    </row>
    <row r="190" spans="3:23" x14ac:dyDescent="0.55000000000000004">
      <c r="C190" s="66"/>
      <c r="D190" s="66"/>
      <c r="E190" s="66"/>
      <c r="F190" s="66"/>
      <c r="G190" s="66"/>
      <c r="H190" s="66"/>
      <c r="I190" s="66"/>
      <c r="J190" s="66"/>
      <c r="K190" s="66"/>
      <c r="L190" s="66"/>
      <c r="M190" s="66"/>
      <c r="N190" s="66"/>
      <c r="O190" s="66"/>
      <c r="P190" s="66"/>
    </row>
    <row r="191" spans="3:23" x14ac:dyDescent="0.55000000000000004">
      <c r="C191" s="344" t="s">
        <v>239</v>
      </c>
      <c r="D191" s="342"/>
      <c r="E191" s="342"/>
      <c r="F191" s="342"/>
      <c r="G191" s="342"/>
      <c r="H191" s="342"/>
      <c r="I191" s="342"/>
      <c r="J191" s="342"/>
      <c r="K191" s="342"/>
      <c r="L191" s="342"/>
      <c r="M191" s="342"/>
      <c r="N191" s="342"/>
      <c r="O191" s="342"/>
      <c r="P191" s="342"/>
      <c r="Q191" s="343"/>
      <c r="R191" s="343"/>
      <c r="S191" s="343"/>
      <c r="T191" s="343"/>
      <c r="U191" s="343"/>
      <c r="V191" s="343"/>
      <c r="W191" s="343"/>
    </row>
    <row r="192" spans="3:23" x14ac:dyDescent="0.55000000000000004">
      <c r="C192" s="66"/>
      <c r="D192" s="66"/>
      <c r="E192" s="66"/>
      <c r="F192" s="66"/>
      <c r="G192" s="66"/>
      <c r="H192" s="66"/>
      <c r="I192" s="66"/>
      <c r="J192" s="66"/>
      <c r="K192" s="66"/>
      <c r="L192" s="66"/>
      <c r="M192" s="66"/>
      <c r="N192" s="66"/>
      <c r="O192" s="66"/>
      <c r="P192" s="66"/>
    </row>
    <row r="193" spans="3:40" x14ac:dyDescent="0.55000000000000004">
      <c r="C193" s="188" t="s">
        <v>162</v>
      </c>
      <c r="D193" s="190" t="str">
        <f t="shared" ref="D193:W193" si="65">D2</f>
        <v>Q1 21</v>
      </c>
      <c r="E193" s="190" t="str">
        <f t="shared" si="65"/>
        <v>Q2 21</v>
      </c>
      <c r="F193" s="190" t="str">
        <f t="shared" si="65"/>
        <v>Q3 21</v>
      </c>
      <c r="G193" s="190" t="str">
        <f t="shared" si="65"/>
        <v>Q4 21</v>
      </c>
      <c r="H193" s="190" t="str">
        <f t="shared" si="65"/>
        <v>Q1 22</v>
      </c>
      <c r="I193" s="190" t="str">
        <f t="shared" si="65"/>
        <v>Q2 22</v>
      </c>
      <c r="J193" s="190" t="str">
        <f t="shared" si="65"/>
        <v>Q3 22</v>
      </c>
      <c r="K193" s="190" t="str">
        <f t="shared" si="65"/>
        <v>Q4 22</v>
      </c>
      <c r="L193" s="190" t="str">
        <f t="shared" si="65"/>
        <v>Q1 23</v>
      </c>
      <c r="M193" s="190" t="str">
        <f t="shared" si="65"/>
        <v>Q2 23</v>
      </c>
      <c r="N193" s="190" t="str">
        <f t="shared" si="65"/>
        <v>Q3 23</v>
      </c>
      <c r="O193" s="190" t="str">
        <f t="shared" si="65"/>
        <v>Q4 23</v>
      </c>
      <c r="P193" s="190" t="str">
        <f t="shared" si="65"/>
        <v>Q1 24</v>
      </c>
      <c r="Q193" s="190" t="str">
        <f t="shared" si="65"/>
        <v>Q2 24</v>
      </c>
      <c r="R193" s="190" t="str">
        <f t="shared" si="65"/>
        <v>Q3 24e</v>
      </c>
      <c r="S193" s="190" t="str">
        <f t="shared" si="65"/>
        <v>Q4 24e</v>
      </c>
      <c r="T193" s="190" t="str">
        <f t="shared" si="65"/>
        <v>Q1 25e</v>
      </c>
      <c r="U193" s="190" t="str">
        <f t="shared" si="65"/>
        <v>Q2 25e</v>
      </c>
      <c r="V193" s="190" t="str">
        <f t="shared" si="65"/>
        <v>Q3 25e</v>
      </c>
      <c r="W193" s="190" t="str">
        <f t="shared" si="65"/>
        <v>Q4 25e</v>
      </c>
    </row>
    <row r="194" spans="3:40" x14ac:dyDescent="0.55000000000000004">
      <c r="C194" s="66"/>
      <c r="D194" s="66"/>
      <c r="E194" s="66"/>
      <c r="F194" s="66"/>
      <c r="G194" s="66"/>
      <c r="H194" s="66"/>
      <c r="I194" s="66"/>
      <c r="J194" s="66"/>
      <c r="K194" s="66"/>
      <c r="L194" s="66"/>
      <c r="M194" s="66"/>
      <c r="N194" s="66"/>
      <c r="O194" s="66"/>
      <c r="P194" s="66"/>
    </row>
    <row r="195" spans="3:40" x14ac:dyDescent="0.55000000000000004">
      <c r="C195" s="66" t="s">
        <v>240</v>
      </c>
      <c r="D195" s="133"/>
      <c r="E195" s="133"/>
      <c r="F195" s="133"/>
      <c r="G195" s="133">
        <f>'Op Metrics - feeder'!AD41/1000</f>
        <v>42.55</v>
      </c>
      <c r="H195" s="133">
        <f>'Op Metrics - feeder'!AE41/1000</f>
        <v>39.54</v>
      </c>
      <c r="I195" s="133">
        <f>'Op Metrics - feeder'!AF41/1000</f>
        <v>48.27</v>
      </c>
      <c r="J195" s="133">
        <f>'Op Metrics - feeder'!AG41/1000</f>
        <v>50.04</v>
      </c>
      <c r="K195" s="133">
        <f>'Op Metrics - feeder'!AH41/1000</f>
        <v>48.61</v>
      </c>
      <c r="L195" s="133">
        <f>'Op Metrics - feeder'!AI41/1000</f>
        <v>46.22</v>
      </c>
      <c r="M195" s="133">
        <f>'Op Metrics - feeder'!AJ41/1000</f>
        <v>54.15</v>
      </c>
      <c r="N195" s="133">
        <f>'Op Metrics - feeder'!AK41/1000</f>
        <v>55.69</v>
      </c>
      <c r="O195" s="133">
        <f>'Op Metrics - feeder'!AL41/1000</f>
        <v>53.543178654000002</v>
      </c>
      <c r="P195" s="133">
        <f>'Op Metrics - feeder'!AM41/1000</f>
        <v>50.464931999999997</v>
      </c>
      <c r="Q195" s="133">
        <f>'Op Metrics - feeder'!AN41/1000</f>
        <v>58.371826999999996</v>
      </c>
      <c r="R195" s="173">
        <f>(1+AI195)*N195</f>
        <v>61.815900000000006</v>
      </c>
      <c r="S195" s="154">
        <f>Master!I211-P195-Q195-R195</f>
        <v>59.910837519399983</v>
      </c>
      <c r="T195" s="173">
        <f>(1+AK195)*P195</f>
        <v>56.016074520000004</v>
      </c>
      <c r="U195" s="173">
        <f>(1+AL195)*Q195</f>
        <v>64.792727970000001</v>
      </c>
      <c r="V195" s="173">
        <f>(1+AM195)*R195</f>
        <v>68.615649000000019</v>
      </c>
      <c r="W195" s="154">
        <f>Master!J211-T195-U195-V195</f>
        <v>66.501029646533993</v>
      </c>
      <c r="Y195" s="113"/>
      <c r="Z195" s="113"/>
      <c r="AA195" s="113"/>
      <c r="AB195" s="113">
        <f t="shared" ref="AB195:AH195" si="66">K195/G195-1</f>
        <v>0.14242068155111642</v>
      </c>
      <c r="AC195" s="113">
        <f t="shared" si="66"/>
        <v>0.16894284269094584</v>
      </c>
      <c r="AD195" s="113">
        <f t="shared" si="66"/>
        <v>0.12181479179614652</v>
      </c>
      <c r="AE195" s="113">
        <f t="shared" si="66"/>
        <v>0.11290967226219029</v>
      </c>
      <c r="AF195" s="113">
        <f t="shared" si="66"/>
        <v>0.10148485196461632</v>
      </c>
      <c r="AG195" s="113">
        <f t="shared" si="66"/>
        <v>9.1841886629164815E-2</v>
      </c>
      <c r="AH195" s="113">
        <f t="shared" si="66"/>
        <v>7.7965410895660225E-2</v>
      </c>
      <c r="AI195" s="149">
        <v>0.11</v>
      </c>
      <c r="AJ195" s="113">
        <f>S195/O195-1</f>
        <v>0.11892567877877158</v>
      </c>
      <c r="AK195" s="149">
        <v>0.11</v>
      </c>
      <c r="AL195" s="149">
        <v>0.11</v>
      </c>
      <c r="AM195" s="149">
        <v>0.11</v>
      </c>
      <c r="AN195" s="113">
        <f>W195/S195-1</f>
        <v>0.1100000000000001</v>
      </c>
    </row>
    <row r="196" spans="3:40" x14ac:dyDescent="0.55000000000000004">
      <c r="C196" s="66"/>
      <c r="D196" s="66"/>
      <c r="E196" s="66"/>
      <c r="F196" s="66"/>
      <c r="G196" s="66"/>
      <c r="H196" s="66"/>
      <c r="I196" s="66"/>
      <c r="J196" s="66"/>
      <c r="K196" s="66"/>
      <c r="L196" s="66"/>
      <c r="M196" s="66"/>
      <c r="N196" s="66"/>
      <c r="O196" s="66"/>
      <c r="P196" s="66"/>
      <c r="Q196" s="66"/>
    </row>
    <row r="197" spans="3:40" x14ac:dyDescent="0.55000000000000004">
      <c r="C197" s="66" t="s">
        <v>1251</v>
      </c>
      <c r="D197" s="133">
        <v>35.299999999999997</v>
      </c>
      <c r="E197" s="133">
        <v>46</v>
      </c>
      <c r="F197" s="133">
        <v>49</v>
      </c>
      <c r="G197" s="133">
        <v>50.3</v>
      </c>
      <c r="H197" s="133">
        <v>49.3</v>
      </c>
      <c r="I197" s="133">
        <v>58.3</v>
      </c>
      <c r="J197" s="133">
        <v>59</v>
      </c>
      <c r="K197" s="133">
        <v>58</v>
      </c>
      <c r="L197" s="133">
        <v>57.8</v>
      </c>
      <c r="M197" s="133">
        <v>66.8</v>
      </c>
      <c r="N197" s="133">
        <v>68</v>
      </c>
      <c r="O197" s="133">
        <v>67.8</v>
      </c>
      <c r="P197" s="66">
        <v>68.5</v>
      </c>
      <c r="Q197" s="66">
        <v>78.3</v>
      </c>
    </row>
    <row r="198" spans="3:40" x14ac:dyDescent="0.55000000000000004">
      <c r="C198" s="66" t="s">
        <v>715</v>
      </c>
      <c r="D198" s="140">
        <f t="shared" ref="D198:P198" si="67">D197*4</f>
        <v>141.19999999999999</v>
      </c>
      <c r="E198" s="140">
        <f t="shared" si="67"/>
        <v>184</v>
      </c>
      <c r="F198" s="140">
        <f t="shared" si="67"/>
        <v>196</v>
      </c>
      <c r="G198" s="140">
        <f t="shared" si="67"/>
        <v>201.2</v>
      </c>
      <c r="H198" s="140">
        <f t="shared" si="67"/>
        <v>197.2</v>
      </c>
      <c r="I198" s="140">
        <f t="shared" si="67"/>
        <v>233.2</v>
      </c>
      <c r="J198" s="140">
        <f t="shared" si="67"/>
        <v>236</v>
      </c>
      <c r="K198" s="140">
        <f t="shared" si="67"/>
        <v>232</v>
      </c>
      <c r="L198" s="140">
        <f t="shared" si="67"/>
        <v>231.2</v>
      </c>
      <c r="M198" s="140">
        <f t="shared" si="67"/>
        <v>267.2</v>
      </c>
      <c r="N198" s="140">
        <f t="shared" si="67"/>
        <v>272</v>
      </c>
      <c r="O198" s="140">
        <f t="shared" si="67"/>
        <v>271.2</v>
      </c>
      <c r="P198" s="140">
        <f t="shared" si="67"/>
        <v>274</v>
      </c>
      <c r="Q198" s="140">
        <f>Q197*4</f>
        <v>313.2</v>
      </c>
    </row>
    <row r="199" spans="3:40" x14ac:dyDescent="0.55000000000000004">
      <c r="C199" s="66" t="s">
        <v>1252</v>
      </c>
      <c r="D199" s="66"/>
      <c r="E199" s="66"/>
      <c r="F199" s="66"/>
      <c r="G199" s="134">
        <f>G195/G197</f>
        <v>0.84592445328031807</v>
      </c>
      <c r="H199" s="134">
        <f t="shared" ref="H199:Q199" si="68">H195/H197</f>
        <v>0.80202839756592292</v>
      </c>
      <c r="I199" s="134">
        <f t="shared" si="68"/>
        <v>0.82795883361921108</v>
      </c>
      <c r="J199" s="134">
        <f t="shared" si="68"/>
        <v>0.84813559322033893</v>
      </c>
      <c r="K199" s="134">
        <f t="shared" si="68"/>
        <v>0.83810344827586203</v>
      </c>
      <c r="L199" s="134">
        <f t="shared" si="68"/>
        <v>0.79965397923875436</v>
      </c>
      <c r="M199" s="134">
        <f t="shared" si="68"/>
        <v>0.81062874251497008</v>
      </c>
      <c r="N199" s="134">
        <f t="shared" si="68"/>
        <v>0.81897058823529412</v>
      </c>
      <c r="O199" s="134">
        <f t="shared" si="68"/>
        <v>0.78972239902654873</v>
      </c>
      <c r="P199" s="134">
        <f t="shared" si="68"/>
        <v>0.73671433576642331</v>
      </c>
      <c r="Q199" s="134">
        <f t="shared" si="68"/>
        <v>0.74548948914431667</v>
      </c>
    </row>
    <row r="200" spans="3:40" x14ac:dyDescent="0.55000000000000004">
      <c r="C200" s="66"/>
      <c r="D200" s="66"/>
      <c r="E200" s="66"/>
      <c r="F200" s="66"/>
      <c r="G200" s="66"/>
      <c r="H200" s="66"/>
      <c r="I200" s="66"/>
      <c r="J200" s="66"/>
      <c r="K200" s="66"/>
      <c r="L200" s="66"/>
      <c r="M200" s="66"/>
      <c r="N200" s="66"/>
      <c r="O200" s="66"/>
      <c r="P200" s="66"/>
      <c r="Q200" s="66"/>
    </row>
    <row r="201" spans="3:40" x14ac:dyDescent="0.55000000000000004">
      <c r="C201" s="67" t="s">
        <v>90</v>
      </c>
      <c r="D201" s="86"/>
      <c r="E201" s="86"/>
      <c r="F201" s="86"/>
      <c r="G201" s="86">
        <f t="shared" ref="G201:P201" si="69">G11</f>
        <v>1470.761</v>
      </c>
      <c r="H201" s="86">
        <f t="shared" si="69"/>
        <v>1378.8219999999999</v>
      </c>
      <c r="I201" s="86">
        <f t="shared" si="69"/>
        <v>1621.4625000000001</v>
      </c>
      <c r="J201" s="86">
        <f t="shared" si="69"/>
        <v>1669.5554999999999</v>
      </c>
      <c r="K201" s="86">
        <f t="shared" si="69"/>
        <v>1624.298</v>
      </c>
      <c r="L201" s="86">
        <f t="shared" si="69"/>
        <v>1555.376</v>
      </c>
      <c r="M201" s="86">
        <f t="shared" si="69"/>
        <v>1811.7125000000001</v>
      </c>
      <c r="N201" s="86">
        <f t="shared" si="69"/>
        <v>1853.3820000000001</v>
      </c>
      <c r="O201" s="86">
        <f t="shared" si="69"/>
        <v>1812.912</v>
      </c>
      <c r="P201" s="86">
        <f t="shared" si="69"/>
        <v>1730.037</v>
      </c>
      <c r="Q201" s="86">
        <f>Q11</f>
        <v>1979.49</v>
      </c>
      <c r="R201" s="86">
        <f>(1+AI201)*N201</f>
        <v>2057.2540200000003</v>
      </c>
      <c r="S201" s="181">
        <f>Master!I11-P201-Q201-R201</f>
        <v>2049.3215120076584</v>
      </c>
      <c r="T201" s="86">
        <f>(1+AK201)*P201</f>
        <v>1920.3410700000002</v>
      </c>
      <c r="U201" s="86">
        <f>(1+AL201)*Q201</f>
        <v>2197.2339000000002</v>
      </c>
      <c r="V201" s="86">
        <f>(1+AM201)*R201</f>
        <v>2283.5519622000006</v>
      </c>
      <c r="W201" s="181">
        <f>Master!J11-T201-U201-V201</f>
        <v>2274.7468783285017</v>
      </c>
      <c r="X201" s="108"/>
      <c r="Y201" s="108"/>
      <c r="Z201" s="108"/>
      <c r="AA201" s="108"/>
      <c r="AB201" s="109">
        <f t="shared" ref="AB201:AH202" si="70">K201/G201-1</f>
        <v>0.10439289592258705</v>
      </c>
      <c r="AC201" s="109">
        <f t="shared" si="70"/>
        <v>0.12804698503505163</v>
      </c>
      <c r="AD201" s="109">
        <f t="shared" si="70"/>
        <v>0.1173323465698406</v>
      </c>
      <c r="AE201" s="109">
        <f t="shared" si="70"/>
        <v>0.11010505490832756</v>
      </c>
      <c r="AF201" s="109">
        <f t="shared" si="70"/>
        <v>0.11612031782345356</v>
      </c>
      <c r="AG201" s="109">
        <f t="shared" si="70"/>
        <v>0.11229503348386505</v>
      </c>
      <c r="AH201" s="109">
        <f t="shared" si="70"/>
        <v>9.2607132754231047E-2</v>
      </c>
      <c r="AI201" s="174">
        <v>0.11</v>
      </c>
      <c r="AJ201" s="109">
        <f>S201/O201-1</f>
        <v>0.13040319221653252</v>
      </c>
      <c r="AK201" s="174">
        <v>0.11</v>
      </c>
      <c r="AL201" s="174">
        <v>0.11</v>
      </c>
      <c r="AM201" s="174">
        <v>0.11</v>
      </c>
      <c r="AN201" s="109">
        <f>W201/S201-1</f>
        <v>0.11000000000000032</v>
      </c>
    </row>
    <row r="202" spans="3:40" x14ac:dyDescent="0.55000000000000004">
      <c r="C202" s="66" t="s">
        <v>241</v>
      </c>
      <c r="D202" s="135"/>
      <c r="E202" s="135"/>
      <c r="F202" s="135"/>
      <c r="G202" s="135">
        <f t="shared" ref="G202:W202" si="71">G201/(G195*1000)</f>
        <v>3.4565475910693304E-2</v>
      </c>
      <c r="H202" s="135">
        <f t="shared" si="71"/>
        <v>3.4871573090541223E-2</v>
      </c>
      <c r="I202" s="135">
        <f t="shared" si="71"/>
        <v>3.3591516469857058E-2</v>
      </c>
      <c r="J202" s="135">
        <f t="shared" si="71"/>
        <v>3.3364418465227814E-2</v>
      </c>
      <c r="K202" s="135">
        <f t="shared" si="71"/>
        <v>3.3414894054721249E-2</v>
      </c>
      <c r="L202" s="135">
        <f t="shared" si="71"/>
        <v>3.3651579402855909E-2</v>
      </c>
      <c r="M202" s="135">
        <f t="shared" si="71"/>
        <v>3.3457294552169899E-2</v>
      </c>
      <c r="N202" s="135">
        <f t="shared" si="71"/>
        <v>3.3280337583049026E-2</v>
      </c>
      <c r="O202" s="135">
        <f t="shared" si="71"/>
        <v>3.3858878863266079E-2</v>
      </c>
      <c r="P202" s="135">
        <f t="shared" si="71"/>
        <v>3.4281964354970301E-2</v>
      </c>
      <c r="Q202" s="135">
        <f>Q201/(Q195*1000)</f>
        <v>3.3911736221653645E-2</v>
      </c>
      <c r="R202" s="135">
        <f t="shared" si="71"/>
        <v>3.3280337583049019E-2</v>
      </c>
      <c r="S202" s="135">
        <f t="shared" si="71"/>
        <v>3.4206190346513836E-2</v>
      </c>
      <c r="T202" s="135">
        <f t="shared" si="71"/>
        <v>3.4281964354970301E-2</v>
      </c>
      <c r="U202" s="135">
        <f t="shared" si="71"/>
        <v>3.3911736221653645E-2</v>
      </c>
      <c r="V202" s="135">
        <f t="shared" si="71"/>
        <v>3.3280337583049019E-2</v>
      </c>
      <c r="W202" s="135">
        <f t="shared" si="71"/>
        <v>3.4206190346513836E-2</v>
      </c>
      <c r="AB202" s="113">
        <f t="shared" si="70"/>
        <v>-3.3287024861014758E-2</v>
      </c>
      <c r="AC202" s="113">
        <f t="shared" si="70"/>
        <v>-3.4985335606102397E-2</v>
      </c>
      <c r="AD202" s="113">
        <f t="shared" si="70"/>
        <v>-3.9957087917600331E-3</v>
      </c>
      <c r="AE202" s="113">
        <f t="shared" si="70"/>
        <v>-2.5200763581842978E-3</v>
      </c>
      <c r="AF202" s="113">
        <f t="shared" si="70"/>
        <v>1.3287033255821479E-2</v>
      </c>
      <c r="AG202" s="113">
        <f t="shared" si="70"/>
        <v>1.8732700316018258E-2</v>
      </c>
      <c r="AH202" s="113">
        <f t="shared" si="70"/>
        <v>1.3582738101406644E-2</v>
      </c>
      <c r="AI202" s="113">
        <f>R202/N202-1</f>
        <v>0</v>
      </c>
      <c r="AJ202" s="113">
        <f>S202/O202-1</f>
        <v>1.0257619121126993E-2</v>
      </c>
    </row>
    <row r="203" spans="3:40" x14ac:dyDescent="0.55000000000000004">
      <c r="C203" s="66"/>
      <c r="D203" s="66"/>
      <c r="E203" s="66"/>
      <c r="F203" s="66"/>
      <c r="G203" s="66"/>
      <c r="H203" s="66"/>
      <c r="I203" s="66"/>
      <c r="J203" s="66"/>
      <c r="K203" s="66"/>
      <c r="L203" s="66"/>
      <c r="M203" s="66"/>
      <c r="N203" s="66"/>
      <c r="O203" s="66"/>
      <c r="P203" s="66"/>
      <c r="Q203" s="66"/>
    </row>
    <row r="204" spans="3:40" x14ac:dyDescent="0.55000000000000004">
      <c r="C204" s="67" t="s">
        <v>179</v>
      </c>
      <c r="D204" s="67"/>
      <c r="E204" s="67"/>
      <c r="F204" s="67"/>
      <c r="G204" s="86">
        <f t="shared" ref="G204:W204" si="72">G13</f>
        <v>657.29200000000003</v>
      </c>
      <c r="H204" s="86">
        <f t="shared" si="72"/>
        <v>615.08050000000003</v>
      </c>
      <c r="I204" s="86">
        <f t="shared" si="72"/>
        <v>680.61500000000001</v>
      </c>
      <c r="J204" s="86">
        <f t="shared" si="72"/>
        <v>708.10299999999995</v>
      </c>
      <c r="K204" s="86">
        <f t="shared" si="72"/>
        <v>703.10299999999995</v>
      </c>
      <c r="L204" s="86">
        <f t="shared" si="72"/>
        <v>691.56100000000004</v>
      </c>
      <c r="M204" s="86">
        <f t="shared" si="72"/>
        <v>804.03300000000002</v>
      </c>
      <c r="N204" s="86">
        <f t="shared" si="72"/>
        <v>805.33749999999998</v>
      </c>
      <c r="O204" s="86">
        <f t="shared" si="72"/>
        <v>827.71699999999998</v>
      </c>
      <c r="P204" s="86">
        <f t="shared" si="72"/>
        <v>820.27200000000005</v>
      </c>
      <c r="Q204" s="86">
        <f>Q13</f>
        <v>922.58399999999995</v>
      </c>
      <c r="R204" s="86">
        <f t="shared" si="72"/>
        <v>920.62117395000018</v>
      </c>
      <c r="S204" s="86">
        <f t="shared" si="72"/>
        <v>939.74609330553017</v>
      </c>
      <c r="T204" s="86">
        <f t="shared" si="72"/>
        <v>902.56030290000001</v>
      </c>
      <c r="U204" s="86">
        <f t="shared" si="72"/>
        <v>1021.7137635000001</v>
      </c>
      <c r="V204" s="86">
        <f t="shared" si="72"/>
        <v>1050.4339026120003</v>
      </c>
      <c r="W204" s="86">
        <f t="shared" si="72"/>
        <v>1068.2492266942811</v>
      </c>
      <c r="X204" s="108"/>
      <c r="Y204" s="108"/>
      <c r="Z204" s="108"/>
      <c r="AA204" s="108"/>
      <c r="AB204" s="109">
        <f t="shared" ref="AB204:AN205" si="73">K204/G204-1</f>
        <v>6.9696573212514323E-2</v>
      </c>
      <c r="AC204" s="109">
        <f t="shared" si="73"/>
        <v>0.12434226089105405</v>
      </c>
      <c r="AD204" s="109">
        <f t="shared" si="73"/>
        <v>0.18133305907157493</v>
      </c>
      <c r="AE204" s="109">
        <f t="shared" si="73"/>
        <v>0.13731688751495197</v>
      </c>
      <c r="AF204" s="109">
        <f t="shared" si="73"/>
        <v>0.17723434546574257</v>
      </c>
      <c r="AG204" s="109">
        <f t="shared" si="73"/>
        <v>0.18611662600985301</v>
      </c>
      <c r="AH204" s="109">
        <f t="shared" si="73"/>
        <v>0.14744544067221121</v>
      </c>
      <c r="AI204" s="109">
        <f t="shared" si="73"/>
        <v>0.14314951675539778</v>
      </c>
      <c r="AJ204" s="109">
        <f t="shared" si="73"/>
        <v>0.13534709726335237</v>
      </c>
      <c r="AK204" s="109">
        <f t="shared" si="73"/>
        <v>0.1003183125841185</v>
      </c>
      <c r="AL204" s="109">
        <f t="shared" si="73"/>
        <v>0.10744795433261389</v>
      </c>
      <c r="AM204" s="109">
        <f t="shared" si="73"/>
        <v>0.14100558659217888</v>
      </c>
      <c r="AN204" s="109">
        <f t="shared" si="73"/>
        <v>0.13674239701997037</v>
      </c>
    </row>
    <row r="205" spans="3:40" x14ac:dyDescent="0.55000000000000004">
      <c r="C205" s="66" t="s">
        <v>242</v>
      </c>
      <c r="D205" s="66"/>
      <c r="E205" s="66"/>
      <c r="F205" s="66"/>
      <c r="G205" s="135">
        <f>G204/(G195*1000)</f>
        <v>1.5447520564042303E-2</v>
      </c>
      <c r="H205" s="135">
        <f t="shared" ref="H205:P205" si="74">H204/(H195*1000)</f>
        <v>1.5555905412240769E-2</v>
      </c>
      <c r="I205" s="135">
        <f t="shared" si="74"/>
        <v>1.4100165734410607E-2</v>
      </c>
      <c r="J205" s="135">
        <f t="shared" si="74"/>
        <v>1.4150739408473221E-2</v>
      </c>
      <c r="K205" s="135">
        <f t="shared" si="74"/>
        <v>1.4464163752314338E-2</v>
      </c>
      <c r="L205" s="135">
        <f t="shared" si="74"/>
        <v>1.4962375594980528E-2</v>
      </c>
      <c r="M205" s="135">
        <f t="shared" si="74"/>
        <v>1.484825484764543E-2</v>
      </c>
      <c r="N205" s="135">
        <f t="shared" si="74"/>
        <v>1.4461079188364158E-2</v>
      </c>
      <c r="O205" s="135">
        <f t="shared" si="74"/>
        <v>1.5458869286576516E-2</v>
      </c>
      <c r="P205" s="135">
        <f t="shared" si="74"/>
        <v>1.6254297142419612E-2</v>
      </c>
      <c r="Q205" s="135">
        <f t="shared" ref="Q205:W205" si="75">Q204/(Q195*1000)</f>
        <v>1.580529593497219E-2</v>
      </c>
      <c r="R205" s="135">
        <f t="shared" si="75"/>
        <v>1.4892951068414439E-2</v>
      </c>
      <c r="S205" s="135">
        <f t="shared" si="75"/>
        <v>1.5685744553332725E-2</v>
      </c>
      <c r="T205" s="135">
        <f t="shared" si="75"/>
        <v>1.6112523246836041E-2</v>
      </c>
      <c r="U205" s="135">
        <f t="shared" si="75"/>
        <v>1.5768957343068945E-2</v>
      </c>
      <c r="V205" s="135">
        <f t="shared" si="75"/>
        <v>1.5308955288202551E-2</v>
      </c>
      <c r="W205" s="135">
        <f t="shared" si="75"/>
        <v>1.6063649425764309E-2</v>
      </c>
      <c r="AB205" s="113">
        <f t="shared" si="73"/>
        <v>-6.3657905982462792E-2</v>
      </c>
      <c r="AC205" s="113">
        <f t="shared" si="73"/>
        <v>-3.815463012478848E-2</v>
      </c>
      <c r="AD205" s="113">
        <f t="shared" si="73"/>
        <v>5.3055341853830651E-2</v>
      </c>
      <c r="AE205" s="113">
        <f t="shared" si="73"/>
        <v>2.1930993917187891E-2</v>
      </c>
      <c r="AF205" s="113">
        <f t="shared" si="73"/>
        <v>6.8770345199045568E-2</v>
      </c>
      <c r="AG205" s="113">
        <f t="shared" si="73"/>
        <v>8.6344680979168142E-2</v>
      </c>
      <c r="AH205" s="113">
        <f t="shared" si="73"/>
        <v>6.4454785908966583E-2</v>
      </c>
      <c r="AI205" s="113">
        <f t="shared" si="73"/>
        <v>2.9864429509367296E-2</v>
      </c>
      <c r="AJ205" s="113">
        <f t="shared" si="73"/>
        <v>1.4676058290577165E-2</v>
      </c>
      <c r="AK205" s="113">
        <f t="shared" si="73"/>
        <v>-8.7222409152085678E-3</v>
      </c>
      <c r="AL205" s="113">
        <f t="shared" si="73"/>
        <v>-2.2991402408885087E-3</v>
      </c>
      <c r="AM205" s="113">
        <f t="shared" si="73"/>
        <v>2.7932960893854775E-2</v>
      </c>
      <c r="AN205" s="113">
        <f t="shared" si="73"/>
        <v>2.4092249567540636E-2</v>
      </c>
    </row>
    <row r="206" spans="3:40" x14ac:dyDescent="0.55000000000000004">
      <c r="C206" s="66"/>
      <c r="D206" s="66"/>
      <c r="E206" s="66"/>
      <c r="F206" s="66"/>
      <c r="G206" s="66"/>
      <c r="H206" s="66"/>
      <c r="I206" s="66"/>
      <c r="J206" s="66"/>
      <c r="K206" s="66"/>
      <c r="L206" s="66"/>
      <c r="M206" s="66"/>
      <c r="N206" s="66"/>
      <c r="O206" s="66"/>
      <c r="P206" s="66"/>
    </row>
    <row r="207" spans="3:40" x14ac:dyDescent="0.55000000000000004">
      <c r="C207" s="67" t="s">
        <v>563</v>
      </c>
      <c r="D207" s="171"/>
      <c r="E207" s="171"/>
      <c r="F207" s="171"/>
      <c r="G207" s="171"/>
      <c r="H207" s="171"/>
      <c r="I207" s="171"/>
      <c r="J207" s="171"/>
      <c r="K207" s="171"/>
      <c r="L207" s="171"/>
      <c r="M207" s="171"/>
      <c r="N207" s="171"/>
      <c r="O207" s="171"/>
      <c r="P207" s="171"/>
      <c r="Q207" s="172"/>
      <c r="R207" s="172"/>
      <c r="S207" s="171"/>
      <c r="T207" s="171"/>
      <c r="U207" s="171"/>
      <c r="V207" s="171"/>
      <c r="W207" s="171"/>
      <c r="Y207" s="109"/>
      <c r="Z207" s="109"/>
      <c r="AA207" s="109"/>
      <c r="AB207" s="109"/>
      <c r="AC207" s="109"/>
      <c r="AD207" s="109"/>
      <c r="AE207" s="109"/>
      <c r="AF207" s="109"/>
      <c r="AG207" s="109"/>
      <c r="AH207" s="109"/>
      <c r="AI207" s="109"/>
      <c r="AJ207" s="109"/>
    </row>
    <row r="208" spans="3:40" x14ac:dyDescent="0.55000000000000004">
      <c r="C208" s="66" t="s">
        <v>494</v>
      </c>
      <c r="D208" s="134">
        <v>0.11</v>
      </c>
      <c r="E208" s="134">
        <v>0.13</v>
      </c>
      <c r="F208" s="134">
        <v>0.14000000000000001</v>
      </c>
      <c r="G208" s="134">
        <v>0.16</v>
      </c>
      <c r="H208" s="134">
        <v>0.16</v>
      </c>
      <c r="I208" s="134">
        <v>0.19</v>
      </c>
      <c r="J208" s="134">
        <v>0.18</v>
      </c>
      <c r="K208" s="134">
        <v>0.21</v>
      </c>
      <c r="L208" s="134">
        <v>0.2</v>
      </c>
      <c r="M208" s="134">
        <v>0.21</v>
      </c>
      <c r="N208" s="134">
        <v>0.19</v>
      </c>
      <c r="O208" s="134">
        <v>0.23</v>
      </c>
      <c r="P208" s="134">
        <v>0.23</v>
      </c>
      <c r="Q208" s="134">
        <v>0.23</v>
      </c>
      <c r="R208" s="172"/>
      <c r="S208" s="171"/>
      <c r="T208" s="171"/>
      <c r="U208" s="171"/>
      <c r="V208" s="171"/>
      <c r="W208" s="171"/>
      <c r="Y208" s="109"/>
      <c r="Z208" s="109"/>
      <c r="AA208" s="109"/>
      <c r="AB208" s="109"/>
      <c r="AC208" s="109"/>
      <c r="AD208" s="109"/>
      <c r="AE208" s="109"/>
      <c r="AF208" s="109"/>
      <c r="AG208" s="109"/>
      <c r="AH208" s="109"/>
      <c r="AI208" s="109"/>
      <c r="AJ208" s="109"/>
    </row>
    <row r="209" spans="3:36" x14ac:dyDescent="0.55000000000000004">
      <c r="C209" s="183" t="s">
        <v>564</v>
      </c>
      <c r="D209" s="134">
        <v>0.61</v>
      </c>
      <c r="E209" s="134">
        <v>0.61</v>
      </c>
      <c r="F209" s="134">
        <v>0.61</v>
      </c>
      <c r="G209" s="134">
        <v>0.62</v>
      </c>
      <c r="H209" s="134">
        <v>0.62</v>
      </c>
      <c r="I209" s="134">
        <v>0.61</v>
      </c>
      <c r="J209" s="134">
        <v>0.55000000000000004</v>
      </c>
      <c r="K209" s="134">
        <v>0.6</v>
      </c>
      <c r="L209" s="134">
        <v>0.6</v>
      </c>
      <c r="M209" s="134">
        <v>0.6</v>
      </c>
      <c r="N209" s="134">
        <v>0.55000000000000004</v>
      </c>
      <c r="O209" s="134">
        <v>0.59</v>
      </c>
      <c r="P209" s="134">
        <v>0.59</v>
      </c>
      <c r="Q209" s="134">
        <v>0.6</v>
      </c>
      <c r="R209" s="120"/>
      <c r="S209" s="120"/>
      <c r="T209" s="120"/>
      <c r="U209" s="120"/>
      <c r="V209" s="120"/>
      <c r="W209" s="120"/>
      <c r="Y209" s="120"/>
      <c r="Z209" s="120"/>
      <c r="AA209" s="120"/>
      <c r="AB209" s="120"/>
      <c r="AC209" s="120"/>
      <c r="AD209" s="120"/>
      <c r="AE209" s="120"/>
      <c r="AF209" s="120"/>
      <c r="AG209" s="120"/>
      <c r="AH209" s="120"/>
      <c r="AI209" s="120"/>
      <c r="AJ209" s="120"/>
    </row>
    <row r="210" spans="3:36" x14ac:dyDescent="0.55000000000000004">
      <c r="C210" s="183" t="s">
        <v>565</v>
      </c>
      <c r="D210" s="134">
        <v>0.53</v>
      </c>
      <c r="E210" s="134">
        <v>0.28999999999999998</v>
      </c>
      <c r="F210" s="134">
        <v>0.28000000000000003</v>
      </c>
      <c r="G210" s="134">
        <v>0.27</v>
      </c>
      <c r="H210" s="134">
        <v>0.27</v>
      </c>
      <c r="I210" s="134">
        <v>0.26</v>
      </c>
      <c r="J210" s="134">
        <v>0.22</v>
      </c>
      <c r="K210" s="134">
        <v>0.24</v>
      </c>
      <c r="L210" s="134">
        <v>0.23</v>
      </c>
      <c r="M210" s="134">
        <v>0.23</v>
      </c>
      <c r="N210" s="134">
        <v>0.2</v>
      </c>
      <c r="O210" s="134">
        <v>0.2</v>
      </c>
      <c r="P210" s="134">
        <v>0.2</v>
      </c>
      <c r="Q210" s="134">
        <v>0.2</v>
      </c>
      <c r="R210" s="120"/>
      <c r="S210" s="120"/>
      <c r="T210" s="120"/>
      <c r="U210" s="120"/>
      <c r="V210" s="120"/>
      <c r="W210" s="120"/>
      <c r="Y210" s="120"/>
      <c r="Z210" s="120"/>
      <c r="AA210" s="120"/>
      <c r="AB210" s="120"/>
      <c r="AC210" s="120"/>
      <c r="AD210" s="120"/>
      <c r="AE210" s="120"/>
      <c r="AF210" s="120"/>
      <c r="AG210" s="120"/>
      <c r="AH210" s="120"/>
      <c r="AI210" s="120"/>
      <c r="AJ210" s="120"/>
    </row>
    <row r="211" spans="3:36" x14ac:dyDescent="0.55000000000000004">
      <c r="C211" s="183" t="s">
        <v>1127</v>
      </c>
      <c r="D211" s="134">
        <f t="shared" ref="D211:Q211" si="76">100%-D208-D209-D210</f>
        <v>-0.25</v>
      </c>
      <c r="E211" s="134">
        <f t="shared" si="76"/>
        <v>-2.9999999999999971E-2</v>
      </c>
      <c r="F211" s="134">
        <f t="shared" si="76"/>
        <v>-3.0000000000000027E-2</v>
      </c>
      <c r="G211" s="134">
        <f t="shared" si="76"/>
        <v>-5.0000000000000044E-2</v>
      </c>
      <c r="H211" s="134">
        <f t="shared" si="76"/>
        <v>-5.0000000000000044E-2</v>
      </c>
      <c r="I211" s="134">
        <f t="shared" si="76"/>
        <v>-5.9999999999999942E-2</v>
      </c>
      <c r="J211" s="134">
        <f t="shared" si="76"/>
        <v>5.0000000000000017E-2</v>
      </c>
      <c r="K211" s="134">
        <f t="shared" si="76"/>
        <v>-4.9999999999999933E-2</v>
      </c>
      <c r="L211" s="134">
        <f t="shared" si="76"/>
        <v>-2.9999999999999943E-2</v>
      </c>
      <c r="M211" s="134">
        <f t="shared" si="76"/>
        <v>-3.9999999999999952E-2</v>
      </c>
      <c r="N211" s="134">
        <f t="shared" si="76"/>
        <v>0.06</v>
      </c>
      <c r="O211" s="134">
        <f t="shared" si="76"/>
        <v>-1.9999999999999962E-2</v>
      </c>
      <c r="P211" s="134">
        <f t="shared" si="76"/>
        <v>-1.9999999999999962E-2</v>
      </c>
      <c r="Q211" s="134">
        <f t="shared" si="76"/>
        <v>-2.9999999999999971E-2</v>
      </c>
      <c r="R211" s="120"/>
      <c r="S211" s="120"/>
      <c r="T211" s="120"/>
      <c r="U211" s="120"/>
      <c r="V211" s="120"/>
      <c r="W211" s="120"/>
      <c r="Y211" s="120"/>
      <c r="Z211" s="120"/>
      <c r="AA211" s="120"/>
      <c r="AB211" s="120"/>
      <c r="AC211" s="120"/>
      <c r="AD211" s="120"/>
      <c r="AE211" s="120"/>
      <c r="AF211" s="120"/>
      <c r="AG211" s="120"/>
      <c r="AH211" s="120"/>
      <c r="AI211" s="120"/>
      <c r="AJ211" s="120"/>
    </row>
    <row r="212" spans="3:36" x14ac:dyDescent="0.55000000000000004">
      <c r="C212" s="186" t="s">
        <v>567</v>
      </c>
      <c r="D212" s="120"/>
      <c r="E212" s="134"/>
      <c r="F212" s="134"/>
      <c r="G212" s="134"/>
      <c r="H212" s="134"/>
      <c r="I212" s="134"/>
      <c r="J212" s="134"/>
      <c r="K212" s="134"/>
      <c r="L212" s="134"/>
      <c r="M212" s="134"/>
      <c r="N212" s="134"/>
      <c r="O212" s="134"/>
      <c r="P212" s="134"/>
      <c r="Q212" s="120"/>
      <c r="R212" s="120"/>
      <c r="S212" s="120"/>
      <c r="T212" s="120"/>
      <c r="U212" s="120"/>
      <c r="V212" s="120"/>
      <c r="W212" s="120"/>
      <c r="Y212" s="120"/>
      <c r="Z212" s="120"/>
      <c r="AA212" s="120"/>
      <c r="AB212" s="120"/>
      <c r="AC212" s="120"/>
      <c r="AD212" s="120"/>
      <c r="AE212" s="120"/>
      <c r="AF212" s="120"/>
      <c r="AG212" s="120"/>
      <c r="AH212" s="120"/>
      <c r="AI212" s="120"/>
      <c r="AJ212" s="120"/>
    </row>
    <row r="213" spans="3:36" x14ac:dyDescent="0.55000000000000004">
      <c r="C213" s="186" t="s">
        <v>752</v>
      </c>
      <c r="D213" s="120"/>
      <c r="E213" s="134"/>
      <c r="F213" s="134"/>
      <c r="G213" s="134"/>
      <c r="H213" s="134"/>
      <c r="I213" s="134"/>
      <c r="J213" s="134"/>
      <c r="K213" s="134"/>
      <c r="L213" s="134"/>
      <c r="M213" s="134"/>
      <c r="N213" s="134"/>
      <c r="O213" s="134"/>
      <c r="P213" s="134"/>
      <c r="Q213" s="120"/>
      <c r="R213" s="120"/>
      <c r="S213" s="120"/>
      <c r="T213" s="120"/>
      <c r="U213" s="120"/>
      <c r="V213" s="120"/>
      <c r="W213" s="120"/>
      <c r="Y213" s="120"/>
      <c r="Z213" s="120"/>
      <c r="AA213" s="120"/>
      <c r="AB213" s="120"/>
      <c r="AC213" s="120"/>
      <c r="AD213" s="120"/>
      <c r="AE213" s="120"/>
      <c r="AF213" s="120"/>
      <c r="AG213" s="120"/>
      <c r="AH213" s="120"/>
      <c r="AI213" s="120"/>
      <c r="AJ213" s="120"/>
    </row>
    <row r="214" spans="3:36" x14ac:dyDescent="0.55000000000000004">
      <c r="C214" s="186" t="s">
        <v>751</v>
      </c>
      <c r="D214" s="120"/>
      <c r="E214" s="134"/>
      <c r="F214" s="134"/>
      <c r="G214" s="134"/>
      <c r="H214" s="134"/>
      <c r="I214" s="134"/>
      <c r="J214" s="134"/>
      <c r="K214" s="134"/>
      <c r="L214" s="134"/>
      <c r="M214" s="134"/>
      <c r="N214" s="134"/>
      <c r="O214" s="134"/>
      <c r="P214" s="134"/>
      <c r="Q214" s="120"/>
      <c r="R214" s="120"/>
      <c r="S214" s="120"/>
      <c r="T214" s="120"/>
      <c r="U214" s="120"/>
      <c r="V214" s="120"/>
      <c r="W214" s="120"/>
      <c r="Y214" s="120"/>
      <c r="Z214" s="120"/>
      <c r="AA214" s="120"/>
      <c r="AB214" s="120"/>
      <c r="AC214" s="120"/>
      <c r="AD214" s="120"/>
      <c r="AE214" s="120"/>
      <c r="AF214" s="120"/>
      <c r="AG214" s="120"/>
      <c r="AH214" s="120"/>
      <c r="AI214" s="120"/>
      <c r="AJ214" s="120"/>
    </row>
    <row r="215" spans="3:36" x14ac:dyDescent="0.55000000000000004">
      <c r="C215" s="66"/>
      <c r="D215" s="120"/>
      <c r="E215" s="120"/>
      <c r="F215" s="120"/>
      <c r="G215" s="120"/>
      <c r="H215" s="120"/>
      <c r="I215" s="120"/>
      <c r="J215" s="120"/>
      <c r="K215" s="120"/>
      <c r="L215" s="120"/>
      <c r="M215" s="120"/>
      <c r="N215" s="120"/>
      <c r="O215" s="120"/>
      <c r="P215" s="120"/>
      <c r="Q215" s="120"/>
      <c r="R215" s="120"/>
      <c r="S215" s="120"/>
      <c r="T215" s="120"/>
      <c r="U215" s="120"/>
      <c r="V215" s="120"/>
      <c r="W215" s="120"/>
      <c r="Y215" s="120"/>
      <c r="Z215" s="120"/>
      <c r="AA215" s="120"/>
      <c r="AB215" s="120"/>
      <c r="AC215" s="120"/>
      <c r="AD215" s="120"/>
      <c r="AE215" s="120"/>
      <c r="AF215" s="120"/>
      <c r="AG215" s="120"/>
      <c r="AH215" s="120"/>
      <c r="AI215" s="120"/>
      <c r="AJ215" s="120"/>
    </row>
    <row r="216" spans="3:36" x14ac:dyDescent="0.55000000000000004">
      <c r="C216" s="66" t="s">
        <v>1128</v>
      </c>
      <c r="D216" s="120"/>
      <c r="E216" s="120"/>
      <c r="F216" s="120"/>
      <c r="G216" s="120"/>
      <c r="H216" s="120"/>
      <c r="I216" s="120"/>
      <c r="J216" s="120"/>
      <c r="K216" s="120"/>
      <c r="L216" s="120"/>
      <c r="M216" s="185">
        <v>888</v>
      </c>
      <c r="N216" s="120"/>
      <c r="O216" s="120"/>
      <c r="P216" s="185">
        <f>P204</f>
        <v>820.27200000000005</v>
      </c>
      <c r="Q216" s="185">
        <f>Q204</f>
        <v>922.58399999999995</v>
      </c>
      <c r="R216" s="120"/>
      <c r="S216" s="120"/>
      <c r="T216" s="120"/>
      <c r="U216" s="120"/>
      <c r="V216" s="120"/>
      <c r="W216" s="120"/>
      <c r="Y216" s="120"/>
      <c r="Z216" s="120"/>
      <c r="AA216" s="120"/>
      <c r="AB216" s="120"/>
      <c r="AC216" s="120"/>
      <c r="AD216" s="120"/>
      <c r="AE216" s="120"/>
      <c r="AF216" s="120"/>
      <c r="AG216" s="120"/>
      <c r="AH216" s="120"/>
      <c r="AI216" s="120"/>
      <c r="AJ216" s="120"/>
    </row>
    <row r="217" spans="3:36" x14ac:dyDescent="0.55000000000000004">
      <c r="C217" s="66" t="s">
        <v>565</v>
      </c>
      <c r="D217" s="120"/>
      <c r="E217" s="120"/>
      <c r="F217" s="120"/>
      <c r="G217" s="120"/>
      <c r="H217" s="120"/>
      <c r="I217" s="120"/>
      <c r="J217" s="120"/>
      <c r="K217" s="120"/>
      <c r="L217" s="120"/>
      <c r="M217" s="69">
        <f>21%*M216</f>
        <v>186.48</v>
      </c>
      <c r="N217" s="120"/>
      <c r="O217" s="120"/>
      <c r="P217" s="69">
        <f>P210*P204</f>
        <v>164.05440000000002</v>
      </c>
      <c r="Q217" s="69">
        <f>Q210*Q204</f>
        <v>184.51679999999999</v>
      </c>
      <c r="R217" s="120"/>
      <c r="S217" s="120"/>
      <c r="T217" s="120"/>
      <c r="U217" s="120"/>
      <c r="V217" s="120"/>
      <c r="W217" s="120"/>
      <c r="Y217" s="120"/>
      <c r="Z217" s="120"/>
      <c r="AA217" s="120"/>
      <c r="AB217" s="120"/>
      <c r="AC217" s="120"/>
      <c r="AD217" s="120"/>
      <c r="AE217" s="120"/>
      <c r="AF217" s="120"/>
      <c r="AG217" s="120"/>
      <c r="AH217" s="120"/>
      <c r="AI217" s="120"/>
      <c r="AJ217" s="120"/>
    </row>
    <row r="218" spans="3:36" x14ac:dyDescent="0.55000000000000004">
      <c r="C218" s="66" t="s">
        <v>279</v>
      </c>
      <c r="D218" s="120"/>
      <c r="E218" s="120"/>
      <c r="F218" s="120"/>
      <c r="G218" s="120"/>
      <c r="H218" s="120"/>
      <c r="I218" s="120"/>
      <c r="J218" s="120"/>
      <c r="K218" s="120"/>
      <c r="L218" s="120"/>
      <c r="M218" s="69"/>
      <c r="N218" s="134">
        <v>0.03</v>
      </c>
      <c r="O218" s="120"/>
      <c r="P218" s="69"/>
      <c r="Q218" s="134">
        <f>Q217/M217-1</f>
        <v>-1.0527670527670563E-2</v>
      </c>
      <c r="R218" s="120"/>
      <c r="S218" s="120"/>
      <c r="T218" s="120"/>
      <c r="U218" s="120"/>
      <c r="V218" s="120"/>
      <c r="W218" s="120"/>
      <c r="Y218" s="120"/>
      <c r="Z218" s="120"/>
      <c r="AA218" s="120"/>
      <c r="AB218" s="120"/>
      <c r="AC218" s="120"/>
      <c r="AD218" s="120"/>
      <c r="AE218" s="120"/>
      <c r="AF218" s="120"/>
      <c r="AG218" s="120"/>
      <c r="AH218" s="120"/>
      <c r="AI218" s="120"/>
      <c r="AJ218" s="120"/>
    </row>
    <row r="219" spans="3:36" x14ac:dyDescent="0.55000000000000004">
      <c r="C219" s="66"/>
      <c r="D219" s="120"/>
      <c r="E219" s="120"/>
      <c r="F219" s="120"/>
      <c r="G219" s="120"/>
      <c r="H219" s="120"/>
      <c r="I219" s="120"/>
      <c r="J219" s="120"/>
      <c r="K219" s="120"/>
      <c r="L219" s="120"/>
      <c r="M219" s="120"/>
      <c r="N219" s="120"/>
      <c r="O219" s="120"/>
      <c r="P219" s="120"/>
      <c r="Q219" s="120"/>
      <c r="R219" s="120"/>
      <c r="S219" s="120"/>
      <c r="T219" s="120"/>
      <c r="U219" s="120"/>
      <c r="V219" s="120"/>
      <c r="W219" s="120"/>
      <c r="Y219" s="120"/>
      <c r="Z219" s="120"/>
      <c r="AA219" s="120"/>
      <c r="AB219" s="120"/>
      <c r="AC219" s="120"/>
      <c r="AD219" s="120"/>
      <c r="AE219" s="120"/>
      <c r="AF219" s="120"/>
      <c r="AG219" s="120"/>
      <c r="AH219" s="120"/>
      <c r="AI219" s="120"/>
      <c r="AJ219" s="120"/>
    </row>
    <row r="220" spans="3:36" x14ac:dyDescent="0.55000000000000004">
      <c r="C220" s="67" t="s">
        <v>566</v>
      </c>
      <c r="D220" s="120"/>
      <c r="E220" s="120"/>
      <c r="F220" s="120"/>
      <c r="G220" s="120"/>
      <c r="H220" s="120"/>
      <c r="I220" s="120"/>
      <c r="J220" s="120"/>
      <c r="K220" s="120"/>
      <c r="L220" s="120"/>
      <c r="M220" s="120"/>
      <c r="N220" s="120"/>
      <c r="O220" s="120"/>
      <c r="P220" s="120" t="s">
        <v>371</v>
      </c>
      <c r="Q220" s="120"/>
      <c r="R220" s="120"/>
      <c r="S220" s="120"/>
      <c r="T220" s="120"/>
      <c r="U220" s="120"/>
      <c r="V220" s="120"/>
      <c r="W220" s="120"/>
      <c r="Y220" s="120"/>
      <c r="Z220" s="120"/>
      <c r="AA220" s="120"/>
      <c r="AB220" s="120"/>
      <c r="AC220" s="120"/>
      <c r="AD220" s="120"/>
      <c r="AE220" s="120"/>
      <c r="AF220" s="120"/>
      <c r="AG220" s="120"/>
      <c r="AH220" s="120"/>
      <c r="AI220" s="120"/>
      <c r="AJ220" s="120"/>
    </row>
    <row r="221" spans="3:36" x14ac:dyDescent="0.55000000000000004">
      <c r="C221" s="66" t="str">
        <f>C208</f>
        <v>Banking</v>
      </c>
      <c r="D221" s="120"/>
      <c r="E221" s="69">
        <f t="shared" ref="E221:P221" si="77">E208*E$13</f>
        <v>76.067809999999994</v>
      </c>
      <c r="F221" s="69">
        <f t="shared" si="77"/>
        <v>84.871500000000012</v>
      </c>
      <c r="G221" s="69">
        <f t="shared" si="77"/>
        <v>105.16672000000001</v>
      </c>
      <c r="H221" s="69">
        <f t="shared" si="77"/>
        <v>98.412880000000001</v>
      </c>
      <c r="I221" s="69">
        <f t="shared" si="77"/>
        <v>129.31685000000002</v>
      </c>
      <c r="J221" s="69">
        <f t="shared" si="77"/>
        <v>127.45853999999999</v>
      </c>
      <c r="K221" s="69">
        <f t="shared" si="77"/>
        <v>147.65162999999998</v>
      </c>
      <c r="L221" s="69">
        <f t="shared" si="77"/>
        <v>138.31220000000002</v>
      </c>
      <c r="M221" s="69">
        <f t="shared" si="77"/>
        <v>168.84692999999999</v>
      </c>
      <c r="N221" s="69">
        <f t="shared" si="77"/>
        <v>153.01412500000001</v>
      </c>
      <c r="O221" s="69">
        <f t="shared" si="77"/>
        <v>190.37491</v>
      </c>
      <c r="P221" s="69">
        <f t="shared" si="77"/>
        <v>188.66256000000001</v>
      </c>
      <c r="Q221" s="69">
        <f>Q208*Q$13</f>
        <v>212.19432</v>
      </c>
      <c r="R221" s="69">
        <f>(1+AI221)*N221</f>
        <v>206.56906875000001</v>
      </c>
      <c r="S221" s="69">
        <f>Master!I224-P221-Q221-R221</f>
        <v>205.75925750000007</v>
      </c>
      <c r="T221" s="69"/>
      <c r="U221" s="69"/>
      <c r="V221" s="69"/>
      <c r="W221" s="69"/>
      <c r="Y221" s="120"/>
      <c r="Z221" s="120"/>
      <c r="AA221" s="120"/>
      <c r="AB221" s="120"/>
      <c r="AC221" s="113">
        <f t="shared" ref="AC221:AH221" si="78">L221/H221-1</f>
        <v>0.40542782611381778</v>
      </c>
      <c r="AD221" s="113">
        <f t="shared" si="78"/>
        <v>0.30568390739489848</v>
      </c>
      <c r="AE221" s="113">
        <f t="shared" si="78"/>
        <v>0.20050115904356058</v>
      </c>
      <c r="AF221" s="113">
        <f t="shared" si="78"/>
        <v>0.28935190217676587</v>
      </c>
      <c r="AG221" s="113">
        <f t="shared" si="78"/>
        <v>0.36403411991133106</v>
      </c>
      <c r="AH221" s="113">
        <f t="shared" si="78"/>
        <v>0.25672595883146965</v>
      </c>
      <c r="AI221" s="179">
        <v>0.35</v>
      </c>
      <c r="AJ221" s="113">
        <f>S221/O221-1</f>
        <v>8.0810793292036553E-2</v>
      </c>
    </row>
    <row r="222" spans="3:36" x14ac:dyDescent="0.55000000000000004">
      <c r="C222" s="66" t="str">
        <f>C209</f>
        <v>Software / payments</v>
      </c>
      <c r="D222" s="120"/>
      <c r="E222" s="69">
        <f t="shared" ref="E222:P222" si="79">E209*E$13</f>
        <v>356.93356999999997</v>
      </c>
      <c r="F222" s="69">
        <f t="shared" si="79"/>
        <v>369.79725000000002</v>
      </c>
      <c r="G222" s="69">
        <f t="shared" si="79"/>
        <v>407.52104000000003</v>
      </c>
      <c r="H222" s="69">
        <f t="shared" si="79"/>
        <v>381.34991000000002</v>
      </c>
      <c r="I222" s="69">
        <f t="shared" si="79"/>
        <v>415.17514999999997</v>
      </c>
      <c r="J222" s="69">
        <f t="shared" si="79"/>
        <v>389.45665000000002</v>
      </c>
      <c r="K222" s="69">
        <f t="shared" si="79"/>
        <v>421.86179999999996</v>
      </c>
      <c r="L222" s="69">
        <f t="shared" si="79"/>
        <v>414.9366</v>
      </c>
      <c r="M222" s="69">
        <f t="shared" si="79"/>
        <v>482.41980000000001</v>
      </c>
      <c r="N222" s="69">
        <f t="shared" si="79"/>
        <v>442.93562500000002</v>
      </c>
      <c r="O222" s="69">
        <f t="shared" si="79"/>
        <v>488.35302999999999</v>
      </c>
      <c r="P222" s="69">
        <f t="shared" si="79"/>
        <v>483.96048000000002</v>
      </c>
      <c r="Q222" s="69">
        <f>Q209*Q$13</f>
        <v>553.55039999999997</v>
      </c>
      <c r="R222" s="120"/>
      <c r="S222" s="120"/>
      <c r="T222" s="120"/>
      <c r="U222" s="120"/>
      <c r="V222" s="120"/>
      <c r="W222" s="120"/>
      <c r="Y222" s="120"/>
      <c r="Z222" s="120"/>
      <c r="AA222" s="120"/>
      <c r="AB222" s="120"/>
      <c r="AC222" s="113">
        <f t="shared" ref="AC222:AF225" si="80">L222/H222-1</f>
        <v>8.8073155701019923E-2</v>
      </c>
      <c r="AD222" s="113">
        <f t="shared" si="80"/>
        <v>0.16196694334909023</v>
      </c>
      <c r="AE222" s="113">
        <f t="shared" si="80"/>
        <v>0.13731688751495197</v>
      </c>
      <c r="AF222" s="113">
        <f t="shared" si="80"/>
        <v>0.15761377304131363</v>
      </c>
      <c r="AG222" s="113">
        <f t="shared" ref="AG222:AH225" si="81">P222/L222-1</f>
        <v>0.16634801557635548</v>
      </c>
      <c r="AH222" s="113">
        <f t="shared" si="81"/>
        <v>0.14744544067221121</v>
      </c>
      <c r="AI222" s="120"/>
      <c r="AJ222" s="120"/>
    </row>
    <row r="223" spans="3:36" x14ac:dyDescent="0.55000000000000004">
      <c r="C223" s="66" t="str">
        <f>C210</f>
        <v>Sidecar payments</v>
      </c>
      <c r="D223" s="120"/>
      <c r="E223" s="69">
        <f t="shared" ref="E223:P223" si="82">E210*E$13</f>
        <v>169.68972999999997</v>
      </c>
      <c r="F223" s="69">
        <f t="shared" si="82"/>
        <v>169.74300000000002</v>
      </c>
      <c r="G223" s="69">
        <f t="shared" si="82"/>
        <v>177.46884000000003</v>
      </c>
      <c r="H223" s="69">
        <f t="shared" si="82"/>
        <v>166.07173500000002</v>
      </c>
      <c r="I223" s="69">
        <f t="shared" si="82"/>
        <v>176.9599</v>
      </c>
      <c r="J223" s="69">
        <f t="shared" si="82"/>
        <v>155.78265999999999</v>
      </c>
      <c r="K223" s="69">
        <f t="shared" si="82"/>
        <v>168.74471999999997</v>
      </c>
      <c r="L223" s="69">
        <f t="shared" si="82"/>
        <v>159.05903000000001</v>
      </c>
      <c r="M223" s="69">
        <f t="shared" si="82"/>
        <v>184.92759000000001</v>
      </c>
      <c r="N223" s="69">
        <f t="shared" si="82"/>
        <v>161.0675</v>
      </c>
      <c r="O223" s="69">
        <f t="shared" si="82"/>
        <v>165.54340000000002</v>
      </c>
      <c r="P223" s="69">
        <f t="shared" si="82"/>
        <v>164.05440000000002</v>
      </c>
      <c r="Q223" s="69">
        <f>Q210*Q$13</f>
        <v>184.51679999999999</v>
      </c>
      <c r="R223" s="120"/>
      <c r="S223" s="120"/>
      <c r="T223" s="120"/>
      <c r="U223" s="120"/>
      <c r="V223" s="120"/>
      <c r="W223" s="120"/>
      <c r="Y223" s="120"/>
      <c r="Z223" s="120"/>
      <c r="AA223" s="120"/>
      <c r="AB223" s="120"/>
      <c r="AC223" s="113">
        <f t="shared" si="80"/>
        <v>-4.2226962944657664E-2</v>
      </c>
      <c r="AD223" s="113">
        <f t="shared" si="80"/>
        <v>4.5025398409470174E-2</v>
      </c>
      <c r="AE223" s="113">
        <f t="shared" si="80"/>
        <v>3.392444319541088E-2</v>
      </c>
      <c r="AF223" s="113">
        <f t="shared" si="80"/>
        <v>-1.8971378778547598E-2</v>
      </c>
      <c r="AG223" s="113">
        <f t="shared" si="81"/>
        <v>3.140576174769838E-2</v>
      </c>
      <c r="AH223" s="113">
        <f t="shared" si="81"/>
        <v>-2.2213559372077363E-3</v>
      </c>
      <c r="AI223" s="120"/>
      <c r="AJ223" s="120"/>
    </row>
    <row r="224" spans="3:36" x14ac:dyDescent="0.55000000000000004">
      <c r="C224" s="87" t="str">
        <f>C211</f>
        <v>PPP adjs</v>
      </c>
      <c r="D224" s="92"/>
      <c r="E224" s="88">
        <f t="shared" ref="E224:P224" si="83">E13-E221-E222-E223</f>
        <v>-17.554110000000009</v>
      </c>
      <c r="F224" s="88">
        <f t="shared" si="83"/>
        <v>-18.186749999999989</v>
      </c>
      <c r="G224" s="88">
        <f t="shared" si="83"/>
        <v>-32.864600000000081</v>
      </c>
      <c r="H224" s="88">
        <f t="shared" si="83"/>
        <v>-30.754024999999984</v>
      </c>
      <c r="I224" s="88">
        <f t="shared" si="83"/>
        <v>-40.836900000000014</v>
      </c>
      <c r="J224" s="88">
        <f t="shared" si="83"/>
        <v>35.405149999999963</v>
      </c>
      <c r="K224" s="88">
        <f t="shared" si="83"/>
        <v>-35.155149999999935</v>
      </c>
      <c r="L224" s="88">
        <f t="shared" si="83"/>
        <v>-20.746829999999932</v>
      </c>
      <c r="M224" s="88">
        <f t="shared" si="83"/>
        <v>-32.161320000000046</v>
      </c>
      <c r="N224" s="88">
        <f t="shared" si="83"/>
        <v>48.32024999999993</v>
      </c>
      <c r="O224" s="88">
        <f t="shared" si="83"/>
        <v>-16.554340000000025</v>
      </c>
      <c r="P224" s="88">
        <f t="shared" si="83"/>
        <v>-16.40543999999997</v>
      </c>
      <c r="Q224" s="88">
        <f>Q13-Q221-Q222-Q223</f>
        <v>-27.677519999999959</v>
      </c>
      <c r="R224" s="120"/>
      <c r="S224" s="120"/>
      <c r="T224" s="120"/>
      <c r="U224" s="120"/>
      <c r="V224" s="120"/>
      <c r="W224" s="120"/>
      <c r="Y224" s="120"/>
      <c r="Z224" s="120"/>
      <c r="AA224" s="120"/>
      <c r="AB224" s="120"/>
      <c r="AC224" s="118">
        <f t="shared" si="80"/>
        <v>-0.32539464346536939</v>
      </c>
      <c r="AD224" s="118">
        <f t="shared" si="80"/>
        <v>-0.21244462728561586</v>
      </c>
      <c r="AE224" s="118">
        <f t="shared" si="80"/>
        <v>0.3647802650179417</v>
      </c>
      <c r="AF224" s="118">
        <f t="shared" si="80"/>
        <v>-0.52910626181370146</v>
      </c>
      <c r="AG224" s="118">
        <f t="shared" si="81"/>
        <v>-0.20925558266009681</v>
      </c>
      <c r="AH224" s="118">
        <f t="shared" si="81"/>
        <v>-0.13941591949584409</v>
      </c>
      <c r="AI224" s="120"/>
      <c r="AJ224" s="120"/>
    </row>
    <row r="225" spans="3:36" x14ac:dyDescent="0.55000000000000004">
      <c r="C225" s="66" t="s">
        <v>277</v>
      </c>
      <c r="D225" s="184"/>
      <c r="E225" s="185">
        <f>SUM(E221:E224)</f>
        <v>585.13699999999994</v>
      </c>
      <c r="F225" s="185">
        <f t="shared" ref="F225:P225" si="84">SUM(F221:F224)</f>
        <v>606.22500000000014</v>
      </c>
      <c r="G225" s="185">
        <f t="shared" si="84"/>
        <v>657.29199999999992</v>
      </c>
      <c r="H225" s="185">
        <f t="shared" si="84"/>
        <v>615.08050000000003</v>
      </c>
      <c r="I225" s="185">
        <f t="shared" si="84"/>
        <v>680.61500000000001</v>
      </c>
      <c r="J225" s="185">
        <f t="shared" si="84"/>
        <v>708.10299999999995</v>
      </c>
      <c r="K225" s="185">
        <f t="shared" si="84"/>
        <v>703.10299999999995</v>
      </c>
      <c r="L225" s="185">
        <f t="shared" si="84"/>
        <v>691.56100000000015</v>
      </c>
      <c r="M225" s="185">
        <f t="shared" si="84"/>
        <v>804.03300000000002</v>
      </c>
      <c r="N225" s="185">
        <f t="shared" si="84"/>
        <v>805.33749999999986</v>
      </c>
      <c r="O225" s="185">
        <f t="shared" si="84"/>
        <v>827.71699999999998</v>
      </c>
      <c r="P225" s="185">
        <f t="shared" si="84"/>
        <v>820.27200000000005</v>
      </c>
      <c r="Q225" s="185">
        <f>SUM(Q221:Q224)</f>
        <v>922.58399999999995</v>
      </c>
      <c r="R225" s="120"/>
      <c r="S225" s="120"/>
      <c r="T225" s="120"/>
      <c r="U225" s="120"/>
      <c r="V225" s="120"/>
      <c r="W225" s="120"/>
      <c r="Y225" s="120"/>
      <c r="Z225" s="120"/>
      <c r="AA225" s="120"/>
      <c r="AB225" s="120"/>
      <c r="AC225" s="113">
        <f t="shared" si="80"/>
        <v>0.12434226089105427</v>
      </c>
      <c r="AD225" s="113">
        <f t="shared" si="80"/>
        <v>0.18133305907157493</v>
      </c>
      <c r="AE225" s="113">
        <f t="shared" si="80"/>
        <v>0.13731688751495175</v>
      </c>
      <c r="AF225" s="113">
        <f t="shared" si="80"/>
        <v>0.17723434546574257</v>
      </c>
      <c r="AG225" s="113">
        <f t="shared" si="81"/>
        <v>0.18611662600985279</v>
      </c>
      <c r="AH225" s="113">
        <f t="shared" si="81"/>
        <v>0.14744544067221121</v>
      </c>
      <c r="AI225" s="120"/>
      <c r="AJ225" s="120"/>
    </row>
    <row r="226" spans="3:36" x14ac:dyDescent="0.55000000000000004">
      <c r="C226" s="66"/>
      <c r="D226" s="120"/>
      <c r="E226" s="120"/>
      <c r="F226" s="120"/>
      <c r="G226" s="120"/>
      <c r="H226" s="120"/>
      <c r="I226" s="120"/>
      <c r="J226" s="120"/>
      <c r="K226" s="120"/>
      <c r="L226" s="120"/>
      <c r="M226" s="120"/>
      <c r="N226" s="120"/>
      <c r="O226" s="120"/>
      <c r="P226" s="120"/>
      <c r="Q226" s="120"/>
      <c r="R226" s="120"/>
      <c r="S226" s="120"/>
      <c r="T226" s="120"/>
      <c r="U226" s="120"/>
      <c r="V226" s="120"/>
      <c r="W226" s="120"/>
      <c r="Y226" s="120"/>
      <c r="Z226" s="120"/>
      <c r="AA226" s="120"/>
      <c r="AB226" s="120"/>
      <c r="AC226" s="120"/>
      <c r="AD226" s="120"/>
      <c r="AE226" s="120"/>
      <c r="AF226" s="120"/>
      <c r="AG226" s="120"/>
      <c r="AH226" s="120"/>
      <c r="AI226" s="120"/>
      <c r="AJ226" s="120"/>
    </row>
    <row r="227" spans="3:36" x14ac:dyDescent="0.55000000000000004">
      <c r="C227" s="66" t="s">
        <v>575</v>
      </c>
      <c r="D227" s="120"/>
      <c r="E227" s="185">
        <f>E222+E223</f>
        <v>526.62329999999997</v>
      </c>
      <c r="F227" s="185">
        <f t="shared" ref="F227:P227" si="85">F222+F223</f>
        <v>539.54025000000001</v>
      </c>
      <c r="G227" s="185">
        <f t="shared" si="85"/>
        <v>584.98988000000008</v>
      </c>
      <c r="H227" s="185">
        <f t="shared" si="85"/>
        <v>547.42164500000001</v>
      </c>
      <c r="I227" s="185">
        <f t="shared" si="85"/>
        <v>592.13504999999998</v>
      </c>
      <c r="J227" s="185">
        <f t="shared" si="85"/>
        <v>545.23931000000005</v>
      </c>
      <c r="K227" s="185">
        <f t="shared" si="85"/>
        <v>590.60651999999993</v>
      </c>
      <c r="L227" s="185">
        <f t="shared" si="85"/>
        <v>573.99563000000001</v>
      </c>
      <c r="M227" s="185">
        <f t="shared" si="85"/>
        <v>667.34739000000002</v>
      </c>
      <c r="N227" s="185">
        <f t="shared" si="85"/>
        <v>604.00312499999995</v>
      </c>
      <c r="O227" s="185">
        <f t="shared" si="85"/>
        <v>653.89643000000001</v>
      </c>
      <c r="P227" s="185">
        <f t="shared" si="85"/>
        <v>648.01488000000006</v>
      </c>
      <c r="Q227" s="185">
        <f>Q222+Q223</f>
        <v>738.06719999999996</v>
      </c>
      <c r="R227" s="120"/>
      <c r="S227" s="120"/>
      <c r="T227" s="120"/>
      <c r="U227" s="120"/>
      <c r="V227" s="120"/>
      <c r="W227" s="120"/>
      <c r="Y227" s="120"/>
      <c r="Z227" s="120"/>
      <c r="AA227" s="120"/>
      <c r="AB227" s="120"/>
      <c r="AC227" s="113">
        <f t="shared" ref="AC227:AH227" si="86">L227/H227-1</f>
        <v>4.8543906224241429E-2</v>
      </c>
      <c r="AD227" s="113">
        <f t="shared" si="86"/>
        <v>0.12701889543610023</v>
      </c>
      <c r="AE227" s="113">
        <f t="shared" si="86"/>
        <v>0.10777618913794007</v>
      </c>
      <c r="AF227" s="113">
        <f t="shared" si="86"/>
        <v>0.10716087252135331</v>
      </c>
      <c r="AG227" s="113">
        <f t="shared" si="86"/>
        <v>0.1289543789732337</v>
      </c>
      <c r="AH227" s="113">
        <f t="shared" si="86"/>
        <v>0.10597150908164932</v>
      </c>
      <c r="AI227" s="120"/>
      <c r="AJ227" s="120"/>
    </row>
    <row r="228" spans="3:36" x14ac:dyDescent="0.55000000000000004">
      <c r="C228" s="66"/>
      <c r="D228" s="120"/>
      <c r="E228" s="120"/>
      <c r="F228" s="120"/>
      <c r="G228" s="120"/>
      <c r="H228" s="120"/>
      <c r="I228" s="120"/>
      <c r="J228" s="120"/>
      <c r="K228" s="120"/>
      <c r="L228" s="120"/>
      <c r="M228" s="120"/>
      <c r="N228" s="120"/>
      <c r="O228" s="120"/>
      <c r="P228" s="120"/>
      <c r="Q228" s="120"/>
      <c r="R228" s="120"/>
      <c r="S228" s="120"/>
      <c r="T228" s="120"/>
      <c r="U228" s="120"/>
      <c r="V228" s="120"/>
      <c r="W228" s="120"/>
      <c r="Y228" s="120"/>
      <c r="Z228" s="120"/>
      <c r="AA228" s="120"/>
      <c r="AB228" s="120"/>
      <c r="AC228" s="120"/>
      <c r="AD228" s="120"/>
      <c r="AE228" s="120"/>
      <c r="AF228" s="120"/>
      <c r="AG228" s="120"/>
      <c r="AH228" s="120"/>
      <c r="AI228" s="120"/>
      <c r="AJ228" s="120"/>
    </row>
    <row r="229" spans="3:36" x14ac:dyDescent="0.55000000000000004">
      <c r="C229" s="66" t="s">
        <v>543</v>
      </c>
      <c r="D229" s="120"/>
      <c r="E229" s="120"/>
      <c r="F229" s="120"/>
      <c r="G229" s="120"/>
      <c r="H229" s="120"/>
      <c r="I229" s="120"/>
      <c r="J229" s="120"/>
      <c r="K229" s="120"/>
      <c r="L229" s="120"/>
      <c r="M229" s="120"/>
      <c r="N229" s="120"/>
      <c r="O229" s="120"/>
      <c r="P229" s="120"/>
      <c r="Q229" s="120"/>
      <c r="R229" s="120"/>
      <c r="S229" s="120"/>
      <c r="T229" s="120"/>
      <c r="U229" s="120"/>
      <c r="V229" s="120"/>
      <c r="W229" s="120"/>
      <c r="Y229" s="120"/>
      <c r="Z229" s="120"/>
      <c r="AA229" s="120"/>
      <c r="AB229" s="120"/>
      <c r="AC229" s="120"/>
      <c r="AD229" s="120"/>
      <c r="AE229" s="120"/>
      <c r="AF229" s="120"/>
      <c r="AG229" s="120"/>
      <c r="AH229" s="120"/>
      <c r="AI229" s="120"/>
      <c r="AJ229" s="120"/>
    </row>
    <row r="230" spans="3:36" x14ac:dyDescent="0.55000000000000004">
      <c r="C230" s="66"/>
      <c r="D230" s="120"/>
      <c r="E230" s="69">
        <f t="shared" ref="E230:O230" si="87">E232*(E231/3)</f>
        <v>2334</v>
      </c>
      <c r="F230" s="69">
        <f t="shared" si="87"/>
        <v>1782</v>
      </c>
      <c r="G230" s="69">
        <f t="shared" si="87"/>
        <v>2550</v>
      </c>
      <c r="H230" s="69">
        <f t="shared" si="87"/>
        <v>2268</v>
      </c>
      <c r="I230" s="69">
        <f t="shared" si="87"/>
        <v>3030</v>
      </c>
      <c r="J230" s="69">
        <f t="shared" si="87"/>
        <v>3420</v>
      </c>
      <c r="K230" s="69">
        <f t="shared" si="87"/>
        <v>3480</v>
      </c>
      <c r="L230" s="69">
        <f t="shared" si="87"/>
        <v>3300</v>
      </c>
      <c r="M230" s="69">
        <f t="shared" si="87"/>
        <v>3300</v>
      </c>
      <c r="N230" s="69">
        <f t="shared" si="87"/>
        <v>3510</v>
      </c>
      <c r="O230" s="69">
        <f t="shared" si="87"/>
        <v>4200</v>
      </c>
      <c r="P230" s="69">
        <f>P232*(P231/3)</f>
        <v>3960</v>
      </c>
      <c r="Q230" s="69">
        <f>Q232*(Q231/3)</f>
        <v>4350</v>
      </c>
      <c r="R230" s="120"/>
      <c r="S230" s="120"/>
      <c r="T230" s="120"/>
      <c r="U230" s="120"/>
      <c r="V230" s="120"/>
      <c r="W230" s="120"/>
      <c r="Y230" s="120"/>
      <c r="Z230" s="120"/>
      <c r="AA230" s="120"/>
      <c r="AB230" s="120"/>
      <c r="AC230" s="120"/>
      <c r="AD230" s="120"/>
      <c r="AE230" s="120"/>
      <c r="AF230" s="120"/>
      <c r="AG230" s="120"/>
      <c r="AH230" s="120"/>
      <c r="AI230" s="120"/>
      <c r="AJ230" s="120"/>
    </row>
    <row r="231" spans="3:36" x14ac:dyDescent="0.55000000000000004">
      <c r="C231" s="66" t="s">
        <v>750</v>
      </c>
      <c r="D231" s="120"/>
      <c r="E231" s="69">
        <f t="shared" ref="E231:N231" si="88">F231</f>
        <v>9</v>
      </c>
      <c r="F231" s="69">
        <f t="shared" si="88"/>
        <v>9</v>
      </c>
      <c r="G231" s="69">
        <f t="shared" si="88"/>
        <v>9</v>
      </c>
      <c r="H231" s="69">
        <f t="shared" si="88"/>
        <v>9</v>
      </c>
      <c r="I231" s="69">
        <f t="shared" si="88"/>
        <v>9</v>
      </c>
      <c r="J231" s="69">
        <f t="shared" si="88"/>
        <v>9</v>
      </c>
      <c r="K231" s="69">
        <f t="shared" si="88"/>
        <v>9</v>
      </c>
      <c r="L231" s="69">
        <f t="shared" si="88"/>
        <v>9</v>
      </c>
      <c r="M231" s="69">
        <f t="shared" si="88"/>
        <v>9</v>
      </c>
      <c r="N231" s="69">
        <f t="shared" si="88"/>
        <v>9</v>
      </c>
      <c r="O231" s="69">
        <f>P231</f>
        <v>9</v>
      </c>
      <c r="P231" s="69">
        <v>9</v>
      </c>
      <c r="Q231" s="69">
        <f>P231</f>
        <v>9</v>
      </c>
      <c r="R231" s="120"/>
      <c r="S231" s="120"/>
      <c r="T231" s="120"/>
      <c r="U231" s="120"/>
      <c r="V231" s="120"/>
      <c r="W231" s="120"/>
      <c r="Y231" s="120"/>
      <c r="Z231" s="120"/>
      <c r="AA231" s="120"/>
      <c r="AB231" s="120"/>
      <c r="AC231" s="120"/>
      <c r="AD231" s="120"/>
      <c r="AE231" s="120"/>
      <c r="AF231" s="120"/>
      <c r="AG231" s="120"/>
      <c r="AH231" s="120"/>
      <c r="AI231" s="120"/>
      <c r="AJ231" s="120"/>
    </row>
    <row r="232" spans="3:36" x14ac:dyDescent="0.55000000000000004">
      <c r="C232" s="66" t="s">
        <v>568</v>
      </c>
      <c r="D232" s="120"/>
      <c r="E232" s="69">
        <f>'Op Metrics - feeder'!AB56</f>
        <v>778</v>
      </c>
      <c r="F232" s="69">
        <f>'Op Metrics - feeder'!AC56</f>
        <v>594</v>
      </c>
      <c r="G232" s="69">
        <f>'Op Metrics - feeder'!AD56</f>
        <v>850</v>
      </c>
      <c r="H232" s="69">
        <f>'Op Metrics - feeder'!AE56</f>
        <v>756</v>
      </c>
      <c r="I232" s="69">
        <f>'Op Metrics - feeder'!AF56</f>
        <v>1010</v>
      </c>
      <c r="J232" s="69">
        <f>'Op Metrics - feeder'!AG56</f>
        <v>1140</v>
      </c>
      <c r="K232" s="69">
        <f>'Op Metrics - feeder'!AH56</f>
        <v>1160</v>
      </c>
      <c r="L232" s="69">
        <f>'Op Metrics - feeder'!AI56</f>
        <v>1100</v>
      </c>
      <c r="M232" s="69">
        <f>'Op Metrics - feeder'!AJ56</f>
        <v>1100</v>
      </c>
      <c r="N232" s="69">
        <f>'Op Metrics - feeder'!AK56</f>
        <v>1170</v>
      </c>
      <c r="O232" s="69">
        <f>'Op Metrics - feeder'!AL56</f>
        <v>1400</v>
      </c>
      <c r="P232" s="69">
        <f>'Op Metrics - feeder'!AM56</f>
        <v>1320</v>
      </c>
      <c r="Q232" s="69">
        <f>'Op Metrics - feeder'!AN56</f>
        <v>1450</v>
      </c>
      <c r="R232" s="120"/>
      <c r="S232" s="120"/>
      <c r="T232" s="120"/>
      <c r="U232" s="120"/>
      <c r="V232" s="120"/>
      <c r="W232" s="120"/>
      <c r="Y232" s="120"/>
      <c r="Z232" s="120"/>
      <c r="AA232" s="120"/>
      <c r="AB232" s="120"/>
      <c r="AC232" s="113"/>
      <c r="AD232" s="113"/>
      <c r="AE232" s="113"/>
      <c r="AF232" s="113"/>
      <c r="AG232" s="113"/>
      <c r="AH232" s="113"/>
      <c r="AI232" s="120"/>
      <c r="AJ232" s="120"/>
    </row>
    <row r="233" spans="3:36" x14ac:dyDescent="0.55000000000000004">
      <c r="C233" s="66" t="s">
        <v>745</v>
      </c>
      <c r="D233" s="120"/>
      <c r="E233" s="69"/>
      <c r="F233" s="69"/>
      <c r="G233" s="69"/>
      <c r="H233" s="69"/>
      <c r="I233" s="69"/>
      <c r="J233" s="69"/>
      <c r="K233" s="69"/>
      <c r="L233" s="69"/>
      <c r="M233" s="69"/>
      <c r="N233" s="69"/>
      <c r="O233" s="69">
        <v>137000</v>
      </c>
      <c r="P233" s="69">
        <v>129000</v>
      </c>
      <c r="Q233" s="120"/>
      <c r="R233" s="120"/>
      <c r="S233" s="120"/>
      <c r="T233" s="120"/>
      <c r="U233" s="120"/>
      <c r="V233" s="120"/>
      <c r="W233" s="120"/>
      <c r="Y233" s="120"/>
      <c r="Z233" s="120"/>
      <c r="AA233" s="120"/>
      <c r="AB233" s="120"/>
      <c r="AC233" s="113"/>
      <c r="AD233" s="113"/>
      <c r="AE233" s="113"/>
      <c r="AF233" s="113"/>
      <c r="AG233" s="113"/>
      <c r="AH233" s="113"/>
      <c r="AI233" s="120"/>
      <c r="AJ233" s="120"/>
    </row>
    <row r="234" spans="3:36" x14ac:dyDescent="0.55000000000000004">
      <c r="C234" s="66" t="s">
        <v>746</v>
      </c>
      <c r="D234" s="120"/>
      <c r="E234" s="69"/>
      <c r="F234" s="69"/>
      <c r="G234" s="69"/>
      <c r="H234" s="69"/>
      <c r="I234" s="69"/>
      <c r="J234" s="69"/>
      <c r="K234" s="69"/>
      <c r="L234" s="69"/>
      <c r="M234" s="69"/>
      <c r="N234" s="69"/>
      <c r="O234" s="69">
        <f>O232*1000000/O233</f>
        <v>10218.978102189782</v>
      </c>
      <c r="P234" s="69">
        <f>P232*1000000/P233</f>
        <v>10232.558139534884</v>
      </c>
      <c r="Q234" s="69"/>
      <c r="R234" s="120"/>
      <c r="S234" s="120"/>
      <c r="T234" s="120"/>
      <c r="U234" s="120"/>
      <c r="V234" s="120"/>
      <c r="W234" s="120"/>
      <c r="Y234" s="120"/>
      <c r="Z234" s="120"/>
      <c r="AA234" s="120"/>
      <c r="AB234" s="120"/>
      <c r="AC234" s="113"/>
      <c r="AD234" s="113"/>
      <c r="AE234" s="113"/>
      <c r="AF234" s="113"/>
      <c r="AG234" s="113"/>
      <c r="AH234" s="113"/>
      <c r="AI234" s="120"/>
      <c r="AJ234" s="120"/>
    </row>
    <row r="235" spans="3:36" x14ac:dyDescent="0.55000000000000004">
      <c r="C235" s="66" t="s">
        <v>748</v>
      </c>
      <c r="D235" s="120"/>
      <c r="E235" s="171">
        <v>0.15</v>
      </c>
      <c r="F235" s="171">
        <v>0.15</v>
      </c>
      <c r="G235" s="171">
        <v>0.15</v>
      </c>
      <c r="H235" s="171">
        <v>0.15</v>
      </c>
      <c r="I235" s="171">
        <v>0.15</v>
      </c>
      <c r="J235" s="171">
        <v>0.15</v>
      </c>
      <c r="K235" s="171">
        <v>0.15</v>
      </c>
      <c r="L235" s="171">
        <v>0.15</v>
      </c>
      <c r="M235" s="171">
        <v>0.15</v>
      </c>
      <c r="N235" s="171">
        <v>0.15</v>
      </c>
      <c r="O235" s="171">
        <v>0.15</v>
      </c>
      <c r="P235" s="171">
        <v>0.15</v>
      </c>
      <c r="Q235" s="171"/>
      <c r="R235" s="120"/>
      <c r="S235" s="120"/>
      <c r="T235" s="120"/>
      <c r="U235" s="120"/>
      <c r="V235" s="120"/>
      <c r="W235" s="120"/>
      <c r="Y235" s="120"/>
      <c r="Z235" s="120"/>
      <c r="AA235" s="120"/>
      <c r="AB235" s="120"/>
      <c r="AC235" s="113"/>
      <c r="AD235" s="113"/>
      <c r="AE235" s="113"/>
      <c r="AF235" s="113"/>
      <c r="AG235" s="113"/>
      <c r="AH235" s="113"/>
      <c r="AI235" s="120"/>
      <c r="AJ235" s="120"/>
    </row>
    <row r="236" spans="3:36" x14ac:dyDescent="0.55000000000000004">
      <c r="C236" s="66" t="s">
        <v>90</v>
      </c>
      <c r="D236" s="120"/>
      <c r="E236" s="69">
        <f t="shared" ref="E236:O236" si="89">E235*E230/4</f>
        <v>87.524999999999991</v>
      </c>
      <c r="F236" s="69">
        <f t="shared" si="89"/>
        <v>66.825000000000003</v>
      </c>
      <c r="G236" s="69">
        <f t="shared" si="89"/>
        <v>95.625</v>
      </c>
      <c r="H236" s="69">
        <f t="shared" si="89"/>
        <v>85.05</v>
      </c>
      <c r="I236" s="69">
        <f t="shared" si="89"/>
        <v>113.625</v>
      </c>
      <c r="J236" s="69">
        <f t="shared" si="89"/>
        <v>128.25</v>
      </c>
      <c r="K236" s="69">
        <f t="shared" si="89"/>
        <v>130.5</v>
      </c>
      <c r="L236" s="69">
        <f t="shared" si="89"/>
        <v>123.75</v>
      </c>
      <c r="M236" s="69">
        <f t="shared" si="89"/>
        <v>123.75</v>
      </c>
      <c r="N236" s="69">
        <f t="shared" si="89"/>
        <v>131.625</v>
      </c>
      <c r="O236" s="69">
        <f t="shared" si="89"/>
        <v>157.5</v>
      </c>
      <c r="P236" s="69">
        <f>P235*P230/4</f>
        <v>148.5</v>
      </c>
      <c r="Q236" s="69"/>
      <c r="R236" s="120"/>
      <c r="S236" s="120"/>
      <c r="T236" s="120"/>
      <c r="U236" s="120"/>
      <c r="V236" s="120"/>
      <c r="W236" s="120"/>
      <c r="Y236" s="120"/>
      <c r="Z236" s="120"/>
      <c r="AA236" s="120"/>
      <c r="AB236" s="120"/>
      <c r="AC236" s="113"/>
      <c r="AD236" s="113"/>
      <c r="AE236" s="113"/>
      <c r="AF236" s="113"/>
      <c r="AG236" s="113"/>
      <c r="AH236" s="113"/>
      <c r="AI236" s="120"/>
      <c r="AJ236" s="120"/>
    </row>
    <row r="237" spans="3:36" x14ac:dyDescent="0.55000000000000004">
      <c r="C237" s="66"/>
      <c r="D237" s="120"/>
      <c r="E237" s="69"/>
      <c r="F237" s="69"/>
      <c r="G237" s="69"/>
      <c r="H237" s="69"/>
      <c r="I237" s="69"/>
      <c r="J237" s="69"/>
      <c r="K237" s="69"/>
      <c r="L237" s="69"/>
      <c r="M237" s="69"/>
      <c r="N237" s="69"/>
      <c r="O237" s="69"/>
      <c r="P237" s="69"/>
      <c r="Q237" s="120"/>
      <c r="R237" s="120"/>
      <c r="S237" s="120"/>
      <c r="T237" s="120"/>
      <c r="U237" s="120"/>
      <c r="V237" s="120"/>
      <c r="W237" s="120"/>
      <c r="Y237" s="120"/>
      <c r="Z237" s="120"/>
      <c r="AA237" s="120"/>
      <c r="AB237" s="120"/>
      <c r="AC237" s="113"/>
      <c r="AD237" s="113"/>
      <c r="AE237" s="113"/>
      <c r="AF237" s="113"/>
      <c r="AG237" s="113"/>
      <c r="AH237" s="113"/>
      <c r="AI237" s="120"/>
      <c r="AJ237" s="120"/>
    </row>
    <row r="238" spans="3:36" x14ac:dyDescent="0.55000000000000004">
      <c r="C238" s="66"/>
      <c r="D238" s="120"/>
      <c r="E238" s="69"/>
      <c r="F238" s="69"/>
      <c r="G238" s="69"/>
      <c r="H238" s="69"/>
      <c r="I238" s="69"/>
      <c r="J238" s="69"/>
      <c r="K238" s="69"/>
      <c r="L238" s="69"/>
      <c r="M238" s="69"/>
      <c r="N238" s="69"/>
      <c r="O238" s="69"/>
      <c r="P238" s="69"/>
      <c r="Q238" s="120"/>
      <c r="R238" s="120"/>
      <c r="S238" s="120"/>
      <c r="T238" s="120"/>
      <c r="U238" s="120"/>
      <c r="V238" s="120"/>
      <c r="W238" s="120"/>
      <c r="Y238" s="120"/>
      <c r="Z238" s="120"/>
      <c r="AA238" s="120"/>
      <c r="AB238" s="120"/>
      <c r="AC238" s="113"/>
      <c r="AD238" s="113"/>
      <c r="AE238" s="113"/>
      <c r="AF238" s="113"/>
      <c r="AG238" s="113"/>
      <c r="AH238" s="113"/>
      <c r="AI238" s="120"/>
      <c r="AJ238" s="120"/>
    </row>
    <row r="239" spans="3:36" x14ac:dyDescent="0.55000000000000004">
      <c r="C239" s="66"/>
      <c r="D239" s="120"/>
      <c r="E239" s="120"/>
      <c r="F239" s="120"/>
      <c r="G239" s="120"/>
      <c r="H239" s="120"/>
      <c r="I239" s="120"/>
      <c r="J239" s="120"/>
      <c r="K239" s="120"/>
      <c r="L239" s="120"/>
      <c r="M239" s="120"/>
      <c r="N239" s="120"/>
      <c r="O239" s="120"/>
      <c r="P239" s="120"/>
      <c r="Q239" s="120"/>
      <c r="R239" s="120"/>
      <c r="S239" s="120"/>
      <c r="T239" s="120"/>
      <c r="U239" s="120"/>
      <c r="V239" s="120"/>
      <c r="W239" s="120"/>
      <c r="Y239" s="120"/>
      <c r="Z239" s="120"/>
      <c r="AA239" s="120"/>
      <c r="AB239" s="120"/>
      <c r="AC239" s="120"/>
      <c r="AD239" s="120"/>
      <c r="AE239" s="120"/>
      <c r="AF239" s="120"/>
      <c r="AG239" s="120"/>
      <c r="AH239" s="120"/>
      <c r="AI239" s="120"/>
      <c r="AJ239" s="120"/>
    </row>
    <row r="240" spans="3:36" x14ac:dyDescent="0.55000000000000004">
      <c r="C240" s="188" t="s">
        <v>163</v>
      </c>
      <c r="D240" s="189" t="str">
        <f>D193</f>
        <v>Q1 21</v>
      </c>
      <c r="E240" s="189" t="str">
        <f t="shared" ref="E240:W240" si="90">E193</f>
        <v>Q2 21</v>
      </c>
      <c r="F240" s="189" t="str">
        <f t="shared" si="90"/>
        <v>Q3 21</v>
      </c>
      <c r="G240" s="189" t="str">
        <f t="shared" si="90"/>
        <v>Q4 21</v>
      </c>
      <c r="H240" s="189" t="str">
        <f t="shared" si="90"/>
        <v>Q1 22</v>
      </c>
      <c r="I240" s="189" t="str">
        <f t="shared" si="90"/>
        <v>Q2 22</v>
      </c>
      <c r="J240" s="189" t="str">
        <f t="shared" si="90"/>
        <v>Q3 22</v>
      </c>
      <c r="K240" s="189" t="str">
        <f t="shared" si="90"/>
        <v>Q4 22</v>
      </c>
      <c r="L240" s="189" t="str">
        <f t="shared" si="90"/>
        <v>Q1 23</v>
      </c>
      <c r="M240" s="189" t="str">
        <f t="shared" si="90"/>
        <v>Q2 23</v>
      </c>
      <c r="N240" s="189" t="str">
        <f t="shared" si="90"/>
        <v>Q3 23</v>
      </c>
      <c r="O240" s="189" t="str">
        <f t="shared" si="90"/>
        <v>Q4 23</v>
      </c>
      <c r="P240" s="189" t="str">
        <f t="shared" si="90"/>
        <v>Q1 24</v>
      </c>
      <c r="Q240" s="189" t="str">
        <f t="shared" si="90"/>
        <v>Q2 24</v>
      </c>
      <c r="R240" s="189" t="str">
        <f t="shared" si="90"/>
        <v>Q3 24e</v>
      </c>
      <c r="S240" s="189" t="str">
        <f t="shared" si="90"/>
        <v>Q4 24e</v>
      </c>
      <c r="T240" s="189" t="str">
        <f t="shared" si="90"/>
        <v>Q1 25e</v>
      </c>
      <c r="U240" s="189" t="str">
        <f t="shared" si="90"/>
        <v>Q2 25e</v>
      </c>
      <c r="V240" s="189" t="str">
        <f t="shared" si="90"/>
        <v>Q3 25e</v>
      </c>
      <c r="W240" s="189" t="str">
        <f t="shared" si="90"/>
        <v>Q4 25e</v>
      </c>
    </row>
    <row r="241" spans="3:40" x14ac:dyDescent="0.55000000000000004">
      <c r="C241" s="66"/>
      <c r="D241" s="66"/>
      <c r="E241" s="66"/>
      <c r="F241" s="66"/>
      <c r="G241" s="66"/>
      <c r="H241" s="66"/>
      <c r="I241" s="66"/>
      <c r="J241" s="66"/>
      <c r="K241" s="66"/>
      <c r="L241" s="66"/>
      <c r="M241" s="66"/>
      <c r="N241" s="66"/>
      <c r="O241" s="66"/>
      <c r="P241" s="66"/>
    </row>
    <row r="242" spans="3:40" x14ac:dyDescent="0.55000000000000004">
      <c r="C242" s="66" t="s">
        <v>248</v>
      </c>
      <c r="D242" s="66"/>
      <c r="E242" s="66"/>
      <c r="F242" s="66"/>
      <c r="G242" s="66">
        <f>'Op Metrics - feeder'!AD60</f>
        <v>44</v>
      </c>
      <c r="H242" s="66">
        <f>'Op Metrics - feeder'!AE60</f>
        <v>46</v>
      </c>
      <c r="I242" s="66">
        <f>'Op Metrics - feeder'!AF60</f>
        <v>47</v>
      </c>
      <c r="J242" s="66">
        <f>'Op Metrics - feeder'!AG60</f>
        <v>49</v>
      </c>
      <c r="K242" s="66">
        <f>'Op Metrics - feeder'!AH60</f>
        <v>51</v>
      </c>
      <c r="L242" s="66">
        <f>'Op Metrics - feeder'!AI60</f>
        <v>53</v>
      </c>
      <c r="M242" s="66">
        <f>'Op Metrics - feeder'!AJ60</f>
        <v>54</v>
      </c>
      <c r="N242" s="66">
        <f>'Op Metrics - feeder'!AK60</f>
        <v>55</v>
      </c>
      <c r="O242" s="66">
        <f>'Op Metrics - feeder'!AL60</f>
        <v>56</v>
      </c>
      <c r="P242" s="66">
        <f>'Op Metrics - feeder'!AM60</f>
        <v>57</v>
      </c>
      <c r="Q242" s="66">
        <f>'Op Metrics - feeder'!AN60</f>
        <v>57</v>
      </c>
      <c r="R242">
        <f>Q242+R243</f>
        <v>58</v>
      </c>
      <c r="S242" s="114">
        <f>Master!I242</f>
        <v>59</v>
      </c>
      <c r="T242" s="107">
        <f>S242+T243</f>
        <v>59.75</v>
      </c>
      <c r="U242" s="107">
        <f>T242+U243</f>
        <v>60.5</v>
      </c>
      <c r="V242" s="107">
        <f>U242+V243</f>
        <v>61.25</v>
      </c>
      <c r="W242" s="107">
        <f>Master!J242</f>
        <v>61</v>
      </c>
      <c r="AC242" s="113">
        <f t="shared" ref="AC242:AN242" si="91">L242/H242-1</f>
        <v>0.15217391304347827</v>
      </c>
      <c r="AD242" s="113">
        <f t="shared" si="91"/>
        <v>0.14893617021276606</v>
      </c>
      <c r="AE242" s="113">
        <f t="shared" si="91"/>
        <v>0.12244897959183665</v>
      </c>
      <c r="AF242" s="113">
        <f t="shared" si="91"/>
        <v>9.8039215686274606E-2</v>
      </c>
      <c r="AG242" s="113">
        <f t="shared" si="91"/>
        <v>7.547169811320753E-2</v>
      </c>
      <c r="AH242" s="113">
        <f t="shared" si="91"/>
        <v>5.555555555555558E-2</v>
      </c>
      <c r="AI242" s="113">
        <f t="shared" si="91"/>
        <v>5.4545454545454453E-2</v>
      </c>
      <c r="AJ242" s="113">
        <f t="shared" si="91"/>
        <v>5.3571428571428603E-2</v>
      </c>
      <c r="AK242" s="113">
        <f t="shared" si="91"/>
        <v>4.8245614035087758E-2</v>
      </c>
      <c r="AL242" s="113">
        <f t="shared" si="91"/>
        <v>6.1403508771929793E-2</v>
      </c>
      <c r="AM242" s="113">
        <f t="shared" si="91"/>
        <v>5.6034482758620774E-2</v>
      </c>
      <c r="AN242" s="113">
        <f t="shared" si="91"/>
        <v>3.3898305084745672E-2</v>
      </c>
    </row>
    <row r="243" spans="3:40" x14ac:dyDescent="0.55000000000000004">
      <c r="C243" s="66" t="s">
        <v>462</v>
      </c>
      <c r="D243" s="66"/>
      <c r="E243" s="66"/>
      <c r="F243" s="66"/>
      <c r="G243" s="66"/>
      <c r="H243" s="66">
        <f>H242-G242</f>
        <v>2</v>
      </c>
      <c r="I243" s="66">
        <f t="shared" ref="I243:Q243" si="92">I242-H242</f>
        <v>1</v>
      </c>
      <c r="J243" s="66">
        <f t="shared" si="92"/>
        <v>2</v>
      </c>
      <c r="K243" s="66">
        <f t="shared" si="92"/>
        <v>2</v>
      </c>
      <c r="L243" s="66">
        <f t="shared" si="92"/>
        <v>2</v>
      </c>
      <c r="M243" s="66">
        <f t="shared" si="92"/>
        <v>1</v>
      </c>
      <c r="N243" s="66">
        <f t="shared" si="92"/>
        <v>1</v>
      </c>
      <c r="O243" s="66">
        <f t="shared" si="92"/>
        <v>1</v>
      </c>
      <c r="P243" s="66">
        <f t="shared" si="92"/>
        <v>1</v>
      </c>
      <c r="Q243" s="66">
        <f t="shared" si="92"/>
        <v>0</v>
      </c>
      <c r="R243" s="178">
        <v>1</v>
      </c>
      <c r="S243" s="114">
        <f>S242-R242</f>
        <v>1</v>
      </c>
      <c r="T243" s="206">
        <v>0.75</v>
      </c>
      <c r="U243" s="206">
        <v>0.75</v>
      </c>
      <c r="V243" s="206">
        <v>0.75</v>
      </c>
      <c r="W243" s="107">
        <f>W242-V242</f>
        <v>-0.25</v>
      </c>
    </row>
    <row r="244" spans="3:40" x14ac:dyDescent="0.55000000000000004">
      <c r="C244" s="66" t="s">
        <v>249</v>
      </c>
      <c r="D244" s="66"/>
      <c r="E244" s="66"/>
      <c r="F244" s="66"/>
      <c r="G244" s="69">
        <f>'Op Metrics - feeder'!AD61</f>
        <v>0</v>
      </c>
      <c r="H244" s="69">
        <f>'Op Metrics - feeder'!AE61</f>
        <v>1052</v>
      </c>
      <c r="I244" s="69">
        <f>'Op Metrics - feeder'!AF61</f>
        <v>1048</v>
      </c>
      <c r="J244" s="69">
        <f>'Op Metrics - feeder'!AG61</f>
        <v>1046</v>
      </c>
      <c r="K244" s="69">
        <f>'Op Metrics - feeder'!AH61</f>
        <v>1048</v>
      </c>
      <c r="L244" s="69">
        <f>'Op Metrics - feeder'!AI61</f>
        <v>1136</v>
      </c>
      <c r="M244" s="69">
        <f>'Op Metrics - feeder'!AJ61</f>
        <v>1134</v>
      </c>
      <c r="N244" s="69">
        <f>'Op Metrics - feeder'!AK61</f>
        <v>1132</v>
      </c>
      <c r="O244" s="69">
        <f>'Op Metrics - feeder'!AL61</f>
        <v>1137</v>
      </c>
      <c r="P244" s="69">
        <f>'Op Metrics - feeder'!AM61</f>
        <v>1255</v>
      </c>
      <c r="Q244" s="69">
        <f>'Op Metrics - feeder'!AN61</f>
        <v>1243</v>
      </c>
      <c r="R244" s="69">
        <f>(1+AI244)*N244</f>
        <v>1245.2</v>
      </c>
      <c r="S244" s="69">
        <f>S247/S242</f>
        <v>1243.8416222760288</v>
      </c>
      <c r="T244" s="69">
        <f>(1+AK244)*P244</f>
        <v>1367.95</v>
      </c>
      <c r="U244" s="69">
        <f>(1+AL244)*Q244</f>
        <v>1367.3000000000002</v>
      </c>
      <c r="V244" s="69">
        <f>(1+AM244)*R244</f>
        <v>1369.7200000000003</v>
      </c>
      <c r="W244" s="69">
        <f>W247/W242</f>
        <v>1395.6651327868842</v>
      </c>
      <c r="AB244" s="113" t="e">
        <f t="shared" ref="AB244:AH244" si="93">K244/G244-1</f>
        <v>#DIV/0!</v>
      </c>
      <c r="AC244" s="113">
        <f t="shared" si="93"/>
        <v>7.9847908745247054E-2</v>
      </c>
      <c r="AD244" s="113">
        <f t="shared" si="93"/>
        <v>8.2061068702290019E-2</v>
      </c>
      <c r="AE244" s="113">
        <f t="shared" si="93"/>
        <v>8.2217973231357488E-2</v>
      </c>
      <c r="AF244" s="113">
        <f t="shared" si="93"/>
        <v>8.4923664122137366E-2</v>
      </c>
      <c r="AG244" s="113">
        <f t="shared" si="93"/>
        <v>0.10475352112676051</v>
      </c>
      <c r="AH244" s="113">
        <f t="shared" si="93"/>
        <v>9.6119929453262865E-2</v>
      </c>
      <c r="AI244" s="179">
        <v>0.1</v>
      </c>
      <c r="AJ244" s="113">
        <f>S244/O244-1</f>
        <v>9.3968005519814213E-2</v>
      </c>
      <c r="AK244" s="179">
        <v>0.09</v>
      </c>
      <c r="AL244" s="179">
        <v>0.1</v>
      </c>
      <c r="AM244" s="179">
        <v>0.1</v>
      </c>
      <c r="AN244" s="113">
        <f>W244/S244-1</f>
        <v>0.12206016247715112</v>
      </c>
    </row>
    <row r="245" spans="3:40" x14ac:dyDescent="0.55000000000000004">
      <c r="C245" s="66" t="s">
        <v>393</v>
      </c>
      <c r="D245" s="66"/>
      <c r="E245" s="66"/>
      <c r="F245" s="66"/>
      <c r="G245" s="69"/>
      <c r="H245" s="69"/>
      <c r="I245" s="171">
        <f>I244/H244-1</f>
        <v>-3.8022813688213253E-3</v>
      </c>
      <c r="J245" s="171">
        <f t="shared" ref="J245:W245" si="94">J244/I244-1</f>
        <v>-1.9083969465648609E-3</v>
      </c>
      <c r="K245" s="171">
        <f t="shared" si="94"/>
        <v>1.9120458891013214E-3</v>
      </c>
      <c r="L245" s="171">
        <f t="shared" si="94"/>
        <v>8.3969465648854991E-2</v>
      </c>
      <c r="M245" s="171">
        <f t="shared" si="94"/>
        <v>-1.7605633802817433E-3</v>
      </c>
      <c r="N245" s="171">
        <f t="shared" si="94"/>
        <v>-1.7636684303351524E-3</v>
      </c>
      <c r="O245" s="171">
        <f t="shared" si="94"/>
        <v>4.4169611307420809E-3</v>
      </c>
      <c r="P245" s="171">
        <f t="shared" si="94"/>
        <v>0.10378188214599815</v>
      </c>
      <c r="Q245" s="171">
        <f t="shared" si="94"/>
        <v>-9.5617529880478447E-3</v>
      </c>
      <c r="R245" s="171">
        <f t="shared" si="94"/>
        <v>1.7699115044247371E-3</v>
      </c>
      <c r="S245" s="171">
        <f t="shared" si="94"/>
        <v>-1.0908912013902761E-3</v>
      </c>
      <c r="T245" s="171">
        <f t="shared" si="94"/>
        <v>9.9778280048928636E-2</v>
      </c>
      <c r="U245" s="171">
        <f t="shared" si="94"/>
        <v>-4.7516356591970066E-4</v>
      </c>
      <c r="V245" s="171">
        <f t="shared" si="94"/>
        <v>1.7699115044247371E-3</v>
      </c>
      <c r="W245" s="171">
        <f t="shared" si="94"/>
        <v>1.8941924471340021E-2</v>
      </c>
      <c r="AB245" s="113"/>
      <c r="AC245" s="113"/>
      <c r="AD245" s="113"/>
      <c r="AE245" s="113"/>
      <c r="AF245" s="113"/>
      <c r="AG245" s="113"/>
      <c r="AH245" s="113"/>
      <c r="AI245" s="179"/>
      <c r="AJ245" s="113"/>
      <c r="AK245" s="179"/>
      <c r="AL245" s="179"/>
      <c r="AM245" s="179"/>
      <c r="AN245" s="113"/>
    </row>
    <row r="246" spans="3:40" x14ac:dyDescent="0.55000000000000004">
      <c r="C246" s="66"/>
      <c r="D246" s="66"/>
      <c r="E246" s="66"/>
      <c r="F246" s="66"/>
      <c r="G246" s="69"/>
      <c r="H246" s="69"/>
      <c r="I246" s="69"/>
      <c r="J246" s="69"/>
      <c r="K246" s="69"/>
      <c r="L246" s="69"/>
      <c r="M246" s="69"/>
      <c r="N246" s="69"/>
      <c r="O246" s="69"/>
      <c r="P246" s="69"/>
    </row>
    <row r="247" spans="3:40" x14ac:dyDescent="0.55000000000000004">
      <c r="C247" s="66" t="s">
        <v>250</v>
      </c>
      <c r="D247" s="66"/>
      <c r="E247" s="66"/>
      <c r="F247" s="66"/>
      <c r="G247" s="69">
        <f t="shared" ref="G247:O247" si="95">G242*G244</f>
        <v>0</v>
      </c>
      <c r="H247" s="69">
        <f t="shared" si="95"/>
        <v>48392</v>
      </c>
      <c r="I247" s="69">
        <f t="shared" si="95"/>
        <v>49256</v>
      </c>
      <c r="J247" s="69">
        <f t="shared" si="95"/>
        <v>51254</v>
      </c>
      <c r="K247" s="69">
        <f t="shared" si="95"/>
        <v>53448</v>
      </c>
      <c r="L247" s="69">
        <f t="shared" si="95"/>
        <v>60208</v>
      </c>
      <c r="M247" s="69">
        <f t="shared" si="95"/>
        <v>61236</v>
      </c>
      <c r="N247" s="69">
        <f t="shared" si="95"/>
        <v>62260</v>
      </c>
      <c r="O247" s="69">
        <f t="shared" si="95"/>
        <v>63672</v>
      </c>
      <c r="P247" s="69">
        <f>P242*P244</f>
        <v>71535</v>
      </c>
      <c r="Q247" s="69">
        <f>Q242*Q244</f>
        <v>70851</v>
      </c>
      <c r="R247" s="69">
        <f>R242*R244</f>
        <v>72221.600000000006</v>
      </c>
      <c r="S247" s="69">
        <f>Master!I245*1000-P247-Q247-R247</f>
        <v>73386.655714285705</v>
      </c>
      <c r="T247" s="69">
        <f>T242*T244</f>
        <v>81735.012499999997</v>
      </c>
      <c r="U247" s="69">
        <f>U242*U244</f>
        <v>82721.650000000009</v>
      </c>
      <c r="V247" s="69">
        <f>V242*V244</f>
        <v>83895.35000000002</v>
      </c>
      <c r="W247" s="69">
        <f>Master!J245*1000-T247-U247-V247</f>
        <v>85135.573099999936</v>
      </c>
      <c r="AB247" s="113" t="e">
        <f t="shared" ref="AB247:AN247" si="96">K247/G247-1</f>
        <v>#DIV/0!</v>
      </c>
      <c r="AC247" s="113">
        <f t="shared" si="96"/>
        <v>0.24417259051082829</v>
      </c>
      <c r="AD247" s="113">
        <f t="shared" si="96"/>
        <v>0.24321910021114168</v>
      </c>
      <c r="AE247" s="113">
        <f t="shared" si="96"/>
        <v>0.21473445974948291</v>
      </c>
      <c r="AF247" s="113">
        <f t="shared" si="96"/>
        <v>0.19128872923215079</v>
      </c>
      <c r="AG247" s="113">
        <f t="shared" si="96"/>
        <v>0.18813114536274256</v>
      </c>
      <c r="AH247" s="113">
        <f t="shared" si="96"/>
        <v>0.15701548108955521</v>
      </c>
      <c r="AI247" s="113">
        <f t="shared" si="96"/>
        <v>0.16000000000000014</v>
      </c>
      <c r="AJ247" s="113">
        <f t="shared" si="96"/>
        <v>0.15257343438694715</v>
      </c>
      <c r="AK247" s="113">
        <f t="shared" si="96"/>
        <v>0.14258771929824565</v>
      </c>
      <c r="AL247" s="113">
        <f t="shared" si="96"/>
        <v>0.16754385964912299</v>
      </c>
      <c r="AM247" s="113">
        <f t="shared" si="96"/>
        <v>0.16163793103448287</v>
      </c>
      <c r="AN247" s="113">
        <f t="shared" si="96"/>
        <v>0.16009610018824105</v>
      </c>
    </row>
    <row r="248" spans="3:40" x14ac:dyDescent="0.55000000000000004">
      <c r="C248" s="66"/>
      <c r="D248" s="66"/>
      <c r="E248" s="66"/>
      <c r="F248" s="66"/>
      <c r="G248" s="66"/>
      <c r="H248" s="66"/>
      <c r="I248" s="66"/>
      <c r="J248" s="66"/>
      <c r="K248" s="66"/>
      <c r="L248" s="66"/>
      <c r="M248" s="66"/>
      <c r="N248" s="66"/>
      <c r="O248" s="66"/>
      <c r="P248" s="66"/>
    </row>
    <row r="249" spans="3:40" x14ac:dyDescent="0.55000000000000004">
      <c r="C249" s="66" t="s">
        <v>1194</v>
      </c>
      <c r="D249" s="66"/>
      <c r="E249" s="66"/>
      <c r="F249" s="66"/>
      <c r="G249" s="66"/>
      <c r="H249" s="66">
        <f>'Op Metrics - feeder'!AE64</f>
        <v>15</v>
      </c>
      <c r="I249" s="66">
        <f>'Op Metrics - feeder'!AF64</f>
        <v>16.5</v>
      </c>
      <c r="J249" s="66">
        <f>'Op Metrics - feeder'!AG64</f>
        <v>18</v>
      </c>
      <c r="K249" s="66">
        <f>'Op Metrics - feeder'!AH64</f>
        <v>19</v>
      </c>
      <c r="L249" s="66">
        <f>'Op Metrics - feeder'!AI64</f>
        <v>20</v>
      </c>
      <c r="M249" s="66">
        <f>'Op Metrics - feeder'!AJ64</f>
        <v>21</v>
      </c>
      <c r="N249" s="66">
        <f>'Op Metrics - feeder'!AK64</f>
        <v>22</v>
      </c>
      <c r="O249" s="66">
        <f>'Op Metrics - feeder'!AL64</f>
        <v>23</v>
      </c>
      <c r="P249" s="66">
        <f>'Op Metrics - feeder'!AM64</f>
        <v>24</v>
      </c>
      <c r="Q249" s="66">
        <f>'Op Metrics - feeder'!AN64</f>
        <v>24</v>
      </c>
      <c r="R249" s="177">
        <v>25</v>
      </c>
      <c r="S249" s="69">
        <f>Master!I301</f>
        <v>26</v>
      </c>
      <c r="T249" s="177">
        <v>26</v>
      </c>
      <c r="U249" s="177">
        <v>26</v>
      </c>
      <c r="V249" s="177">
        <v>27</v>
      </c>
      <c r="W249" s="69">
        <f>Master!J301</f>
        <v>28.060000000000002</v>
      </c>
    </row>
    <row r="250" spans="3:40" x14ac:dyDescent="0.55000000000000004">
      <c r="C250" s="66" t="s">
        <v>1195</v>
      </c>
      <c r="D250" s="66"/>
      <c r="E250" s="66"/>
      <c r="F250" s="66"/>
      <c r="G250" s="66"/>
      <c r="H250" s="134">
        <f>H249/H242</f>
        <v>0.32608695652173914</v>
      </c>
      <c r="I250" s="134">
        <f t="shared" ref="I250:W250" si="97">I249/I242</f>
        <v>0.35106382978723405</v>
      </c>
      <c r="J250" s="134">
        <f t="shared" si="97"/>
        <v>0.36734693877551022</v>
      </c>
      <c r="K250" s="134">
        <f t="shared" si="97"/>
        <v>0.37254901960784315</v>
      </c>
      <c r="L250" s="134">
        <f t="shared" si="97"/>
        <v>0.37735849056603776</v>
      </c>
      <c r="M250" s="134">
        <f t="shared" si="97"/>
        <v>0.3888888888888889</v>
      </c>
      <c r="N250" s="134">
        <f t="shared" si="97"/>
        <v>0.4</v>
      </c>
      <c r="O250" s="134">
        <f t="shared" si="97"/>
        <v>0.4107142857142857</v>
      </c>
      <c r="P250" s="134">
        <f t="shared" si="97"/>
        <v>0.42105263157894735</v>
      </c>
      <c r="Q250" s="134">
        <f t="shared" si="97"/>
        <v>0.42105263157894735</v>
      </c>
      <c r="R250" s="134">
        <f t="shared" si="97"/>
        <v>0.43103448275862066</v>
      </c>
      <c r="S250" s="134">
        <f t="shared" si="97"/>
        <v>0.44067796610169491</v>
      </c>
      <c r="T250" s="134">
        <f t="shared" si="97"/>
        <v>0.43514644351464438</v>
      </c>
      <c r="U250" s="134">
        <f t="shared" si="97"/>
        <v>0.42975206611570249</v>
      </c>
      <c r="V250" s="134">
        <f t="shared" si="97"/>
        <v>0.44081632653061226</v>
      </c>
      <c r="W250" s="134">
        <f t="shared" si="97"/>
        <v>0.46</v>
      </c>
    </row>
    <row r="251" spans="3:40" x14ac:dyDescent="0.55000000000000004">
      <c r="C251" s="66"/>
      <c r="D251" s="66"/>
      <c r="E251" s="66"/>
      <c r="F251" s="66"/>
      <c r="G251" s="66"/>
      <c r="H251" s="66"/>
      <c r="I251" s="66"/>
      <c r="J251" s="66"/>
      <c r="K251" s="66"/>
      <c r="L251" s="66"/>
      <c r="M251" s="66"/>
      <c r="N251" s="66"/>
      <c r="O251" s="66"/>
      <c r="P251" s="66"/>
    </row>
    <row r="252" spans="3:40" x14ac:dyDescent="0.55000000000000004">
      <c r="C252" s="67" t="s">
        <v>645</v>
      </c>
      <c r="D252" s="67"/>
      <c r="E252" s="67"/>
      <c r="F252" s="67"/>
      <c r="G252" s="67"/>
      <c r="H252" s="86">
        <f t="shared" ref="H252:P252" si="98">H28</f>
        <v>2527.2249999999999</v>
      </c>
      <c r="I252" s="86">
        <f t="shared" si="98"/>
        <v>2726.1954999999998</v>
      </c>
      <c r="J252" s="86">
        <f t="shared" si="98"/>
        <v>2789.8505</v>
      </c>
      <c r="K252" s="86">
        <f t="shared" si="98"/>
        <v>2988.5309999999999</v>
      </c>
      <c r="L252" s="86">
        <f t="shared" si="98"/>
        <v>3384.163</v>
      </c>
      <c r="M252" s="86">
        <f t="shared" si="98"/>
        <v>3673.1655000000001</v>
      </c>
      <c r="N252" s="86">
        <f t="shared" si="98"/>
        <v>3713.9279999999999</v>
      </c>
      <c r="O252" s="86">
        <f t="shared" si="98"/>
        <v>3910.43</v>
      </c>
      <c r="P252" s="86">
        <f t="shared" si="98"/>
        <v>4172.9040000000005</v>
      </c>
      <c r="Q252" s="86">
        <f>Q28</f>
        <v>4128.8270000000002</v>
      </c>
      <c r="R252" s="86">
        <f>R285+R275+R263</f>
        <v>4091.681232592593</v>
      </c>
      <c r="S252" s="86">
        <f>Master!I253-P252-Q252-R252</f>
        <v>4319.8641308804617</v>
      </c>
      <c r="T252" s="86">
        <f>T285+T275+T263</f>
        <v>4405.0643150565265</v>
      </c>
      <c r="U252" s="86">
        <f>U285+U275+U263</f>
        <v>4498.1860318565268</v>
      </c>
      <c r="V252" s="86">
        <f>V285+V275+V263</f>
        <v>4462.3349010565271</v>
      </c>
      <c r="W252" s="86">
        <f>Master!J253-T252-U252-V252</f>
        <v>4907.8554865034766</v>
      </c>
      <c r="X252" s="108"/>
      <c r="Y252" s="108"/>
      <c r="Z252" s="108"/>
      <c r="AA252" s="108"/>
      <c r="AB252" s="109" t="e">
        <f t="shared" ref="AB252:AN252" si="99">K252/G252-1</f>
        <v>#DIV/0!</v>
      </c>
      <c r="AC252" s="109">
        <f t="shared" si="99"/>
        <v>0.33908259058849133</v>
      </c>
      <c r="AD252" s="109">
        <f t="shared" si="99"/>
        <v>0.34735953456015922</v>
      </c>
      <c r="AE252" s="109">
        <f t="shared" si="99"/>
        <v>0.3312283220910941</v>
      </c>
      <c r="AF252" s="109">
        <f t="shared" si="99"/>
        <v>0.30847898181414202</v>
      </c>
      <c r="AG252" s="109">
        <f t="shared" si="99"/>
        <v>0.23306826532882741</v>
      </c>
      <c r="AH252" s="109">
        <f t="shared" si="99"/>
        <v>0.12405144826716907</v>
      </c>
      <c r="AI252" s="109">
        <f t="shared" si="99"/>
        <v>0.10171258909504788</v>
      </c>
      <c r="AJ252" s="109">
        <f t="shared" si="99"/>
        <v>0.10470309681555778</v>
      </c>
      <c r="AK252" s="109">
        <f t="shared" si="99"/>
        <v>5.5635191956614927E-2</v>
      </c>
      <c r="AL252" s="109">
        <f t="shared" si="99"/>
        <v>8.9458587598009398E-2</v>
      </c>
      <c r="AM252" s="109">
        <f t="shared" si="99"/>
        <v>9.0587132133232773E-2</v>
      </c>
      <c r="AN252" s="109">
        <f t="shared" si="99"/>
        <v>0.1361133910253729</v>
      </c>
    </row>
    <row r="253" spans="3:40" x14ac:dyDescent="0.55000000000000004">
      <c r="C253" s="66" t="s">
        <v>461</v>
      </c>
      <c r="D253" s="66"/>
      <c r="E253" s="66"/>
      <c r="F253" s="66"/>
      <c r="G253" s="66"/>
      <c r="H253" s="171">
        <f>H252/H247</f>
        <v>5.2224024632170601E-2</v>
      </c>
      <c r="I253" s="171">
        <f t="shared" ref="I253:W253" si="100">I252/I247</f>
        <v>5.5347480509988625E-2</v>
      </c>
      <c r="J253" s="171">
        <f t="shared" si="100"/>
        <v>5.4431858976860342E-2</v>
      </c>
      <c r="K253" s="171">
        <f t="shared" si="100"/>
        <v>5.5914739559946115E-2</v>
      </c>
      <c r="L253" s="171">
        <f t="shared" si="100"/>
        <v>5.620786274249269E-2</v>
      </c>
      <c r="M253" s="171">
        <f t="shared" si="100"/>
        <v>5.9983759553204001E-2</v>
      </c>
      <c r="N253" s="171">
        <f t="shared" si="100"/>
        <v>5.9651911339543846E-2</v>
      </c>
      <c r="O253" s="171">
        <f t="shared" si="100"/>
        <v>6.1415221761527826E-2</v>
      </c>
      <c r="P253" s="171">
        <f t="shared" si="100"/>
        <v>5.8333738729293358E-2</v>
      </c>
      <c r="Q253" s="171">
        <f>Q252/Q247</f>
        <v>5.827478793524439E-2</v>
      </c>
      <c r="R253" s="171">
        <f t="shared" si="100"/>
        <v>5.665453593651474E-2</v>
      </c>
      <c r="S253" s="171">
        <f t="shared" si="100"/>
        <v>5.886443644058223E-2</v>
      </c>
      <c r="T253" s="171">
        <f t="shared" si="100"/>
        <v>5.3894459428345066E-2</v>
      </c>
      <c r="U253" s="171">
        <f t="shared" si="100"/>
        <v>5.4377373176871184E-2</v>
      </c>
      <c r="V253" s="171">
        <f t="shared" si="100"/>
        <v>5.3189299538729216E-2</v>
      </c>
      <c r="W253" s="171">
        <f t="shared" si="100"/>
        <v>5.7647529790381832E-2</v>
      </c>
    </row>
    <row r="254" spans="3:40" x14ac:dyDescent="0.55000000000000004">
      <c r="C254" s="66"/>
      <c r="D254" s="66"/>
      <c r="E254" s="66"/>
      <c r="F254" s="66"/>
      <c r="G254" s="66"/>
      <c r="H254" s="66"/>
      <c r="I254" s="66"/>
      <c r="J254" s="66"/>
      <c r="K254" s="66"/>
      <c r="L254" s="66"/>
      <c r="M254" s="66"/>
      <c r="N254" s="66"/>
      <c r="O254" s="66"/>
      <c r="P254" s="66"/>
    </row>
    <row r="255" spans="3:40" x14ac:dyDescent="0.55000000000000004">
      <c r="C255" s="67" t="s">
        <v>156</v>
      </c>
      <c r="D255" s="67"/>
      <c r="E255" s="67"/>
      <c r="F255" s="67"/>
      <c r="G255" s="67"/>
      <c r="H255" s="86">
        <f t="shared" ref="H255:Q255" si="101">H30</f>
        <v>669.79949999999997</v>
      </c>
      <c r="I255" s="86">
        <f t="shared" si="101"/>
        <v>779.71699999999998</v>
      </c>
      <c r="J255" s="86">
        <f t="shared" si="101"/>
        <v>849.33500000000004</v>
      </c>
      <c r="K255" s="86">
        <f t="shared" si="101"/>
        <v>946.19</v>
      </c>
      <c r="L255" s="86">
        <f t="shared" si="101"/>
        <v>1009.954</v>
      </c>
      <c r="M255" s="86">
        <f t="shared" si="101"/>
        <v>1052.2850000000001</v>
      </c>
      <c r="N255" s="86">
        <f t="shared" si="101"/>
        <v>1077.4894999999999</v>
      </c>
      <c r="O255" s="86">
        <f t="shared" si="101"/>
        <v>1183.7339999999999</v>
      </c>
      <c r="P255" s="86">
        <f t="shared" si="101"/>
        <v>1258.527</v>
      </c>
      <c r="Q255" s="86">
        <f t="shared" si="101"/>
        <v>1298.944</v>
      </c>
      <c r="R255" s="86">
        <f>R267+R277+R286</f>
        <v>1301.6770501925928</v>
      </c>
      <c r="S255" s="86">
        <f>S30</f>
        <v>1369.0376211274067</v>
      </c>
      <c r="T255" s="86">
        <f>T267+T277+T286</f>
        <v>1444.2463955565263</v>
      </c>
      <c r="U255" s="86">
        <f>U267+U277+U286</f>
        <v>1519.1912605005266</v>
      </c>
      <c r="V255" s="86">
        <f>V267+V277+V286</f>
        <v>1487.8068219365264</v>
      </c>
      <c r="W255" s="86">
        <f>W30</f>
        <v>1603.6474728504204</v>
      </c>
      <c r="X255" s="108"/>
      <c r="Y255" s="108"/>
      <c r="Z255" s="108"/>
      <c r="AA255" s="108"/>
      <c r="AB255" s="109" t="e">
        <f t="shared" ref="AB255:AJ255" si="102">K255/G255-1</f>
        <v>#DIV/0!</v>
      </c>
      <c r="AC255" s="109">
        <f t="shared" si="102"/>
        <v>0.50784525817054216</v>
      </c>
      <c r="AD255" s="109">
        <f t="shared" si="102"/>
        <v>0.34957298609623755</v>
      </c>
      <c r="AE255" s="109">
        <f t="shared" si="102"/>
        <v>0.26862722011926965</v>
      </c>
      <c r="AF255" s="109">
        <f t="shared" si="102"/>
        <v>0.25105317113898895</v>
      </c>
      <c r="AG255" s="109">
        <f t="shared" si="102"/>
        <v>0.24612309075462857</v>
      </c>
      <c r="AH255" s="109">
        <f t="shared" si="102"/>
        <v>0.23440322726257601</v>
      </c>
      <c r="AI255" s="109">
        <f t="shared" si="102"/>
        <v>0.20806471913888069</v>
      </c>
      <c r="AJ255" s="109">
        <f t="shared" si="102"/>
        <v>0.15654160573862619</v>
      </c>
    </row>
    <row r="256" spans="3:40" x14ac:dyDescent="0.55000000000000004">
      <c r="C256" s="67" t="s">
        <v>171</v>
      </c>
      <c r="D256" s="67"/>
      <c r="E256" s="67"/>
      <c r="F256" s="67"/>
      <c r="G256" s="67"/>
      <c r="H256" s="180">
        <f t="shared" ref="H256:W256" si="103">H255/H252</f>
        <v>0.26503358426732876</v>
      </c>
      <c r="I256" s="180">
        <f t="shared" si="103"/>
        <v>0.28600920220138287</v>
      </c>
      <c r="J256" s="180">
        <f t="shared" si="103"/>
        <v>0.3044374600000968</v>
      </c>
      <c r="K256" s="180">
        <f t="shared" si="103"/>
        <v>0.31660705543961232</v>
      </c>
      <c r="L256" s="180">
        <f t="shared" si="103"/>
        <v>0.29843538860273572</v>
      </c>
      <c r="M256" s="180">
        <f t="shared" si="103"/>
        <v>0.28647906009135721</v>
      </c>
      <c r="N256" s="180">
        <f t="shared" si="103"/>
        <v>0.29012126783287129</v>
      </c>
      <c r="O256" s="180">
        <f t="shared" si="103"/>
        <v>0.30271197796661747</v>
      </c>
      <c r="P256" s="180">
        <f t="shared" si="103"/>
        <v>0.30159500434229974</v>
      </c>
      <c r="Q256" s="180">
        <f t="shared" si="103"/>
        <v>0.31460363924184759</v>
      </c>
      <c r="R256" s="180">
        <f t="shared" si="103"/>
        <v>0.31812767813484266</v>
      </c>
      <c r="S256" s="180">
        <f t="shared" si="103"/>
        <v>0.31691682415214611</v>
      </c>
      <c r="T256" s="180">
        <f t="shared" si="103"/>
        <v>0.32786045611640369</v>
      </c>
      <c r="U256" s="180">
        <f t="shared" si="103"/>
        <v>0.33773419990669307</v>
      </c>
      <c r="V256" s="180">
        <f t="shared" si="103"/>
        <v>0.33341442427018758</v>
      </c>
      <c r="W256" s="180">
        <f t="shared" si="103"/>
        <v>0.32675115990281806</v>
      </c>
      <c r="X256" s="108"/>
      <c r="Y256" s="108"/>
      <c r="Z256" s="108"/>
      <c r="AA256" s="108"/>
      <c r="AB256" s="109"/>
      <c r="AC256" s="109"/>
      <c r="AD256" s="109"/>
      <c r="AE256" s="109"/>
      <c r="AF256" s="109"/>
      <c r="AG256" s="109"/>
      <c r="AH256" s="109"/>
      <c r="AI256" s="109"/>
      <c r="AJ256" s="109"/>
    </row>
    <row r="257" spans="3:40" x14ac:dyDescent="0.55000000000000004">
      <c r="C257" s="66"/>
      <c r="D257" s="66"/>
      <c r="E257" s="66"/>
      <c r="F257" s="66"/>
      <c r="G257" s="66"/>
      <c r="H257" s="66"/>
      <c r="I257" s="66"/>
      <c r="J257" s="66"/>
      <c r="K257" s="66"/>
      <c r="L257" s="66"/>
      <c r="M257" s="66"/>
      <c r="N257" s="66"/>
      <c r="O257" s="66"/>
      <c r="P257" s="66"/>
    </row>
    <row r="258" spans="3:40" x14ac:dyDescent="0.55000000000000004">
      <c r="C258" s="66" t="s">
        <v>1032</v>
      </c>
      <c r="D258" s="66"/>
      <c r="E258" s="66"/>
      <c r="F258" s="66"/>
      <c r="G258" s="66"/>
      <c r="H258" s="133">
        <f>H255/AVERAGE(G242,H242)</f>
        <v>14.884433333333332</v>
      </c>
      <c r="I258" s="133">
        <f t="shared" ref="I258:W258" si="104">I255/AVERAGE(H242,I242)</f>
        <v>16.768107526881721</v>
      </c>
      <c r="J258" s="133">
        <f t="shared" si="104"/>
        <v>17.694479166666667</v>
      </c>
      <c r="K258" s="133">
        <f t="shared" si="104"/>
        <v>18.9238</v>
      </c>
      <c r="L258" s="133">
        <f t="shared" si="104"/>
        <v>19.422192307692306</v>
      </c>
      <c r="M258" s="133">
        <f t="shared" si="104"/>
        <v>19.6688785046729</v>
      </c>
      <c r="N258" s="133">
        <f t="shared" si="104"/>
        <v>19.770449541284403</v>
      </c>
      <c r="O258" s="133">
        <f t="shared" si="104"/>
        <v>21.328540540540541</v>
      </c>
      <c r="P258" s="133">
        <f t="shared" si="104"/>
        <v>22.274814159292035</v>
      </c>
      <c r="Q258" s="133">
        <f t="shared" si="104"/>
        <v>22.788491228070175</v>
      </c>
      <c r="R258" s="133">
        <f t="shared" si="104"/>
        <v>22.637861742479874</v>
      </c>
      <c r="S258" s="133">
        <f t="shared" si="104"/>
        <v>23.402352497904388</v>
      </c>
      <c r="T258" s="133">
        <f t="shared" si="104"/>
        <v>24.32414981989939</v>
      </c>
      <c r="U258" s="133">
        <f t="shared" si="104"/>
        <v>25.267214311859071</v>
      </c>
      <c r="V258" s="133">
        <f t="shared" si="104"/>
        <v>24.440358471236571</v>
      </c>
      <c r="W258" s="133">
        <f t="shared" si="104"/>
        <v>26.235541478125487</v>
      </c>
      <c r="AC258" s="113">
        <f t="shared" ref="AC258:AN258" si="105">L258/H258-1</f>
        <v>0.30486608880143073</v>
      </c>
      <c r="AD258" s="113">
        <f t="shared" si="105"/>
        <v>0.17299334305560832</v>
      </c>
      <c r="AE258" s="113">
        <f t="shared" si="105"/>
        <v>0.11732305625183392</v>
      </c>
      <c r="AF258" s="113">
        <f t="shared" si="105"/>
        <v>0.12707492895404404</v>
      </c>
      <c r="AG258" s="113">
        <f t="shared" si="105"/>
        <v>0.14687434901310947</v>
      </c>
      <c r="AH258" s="113">
        <f t="shared" si="105"/>
        <v>0.15860653786925982</v>
      </c>
      <c r="AI258" s="113">
        <f t="shared" si="105"/>
        <v>0.14503525553163454</v>
      </c>
      <c r="AJ258" s="113">
        <f t="shared" si="105"/>
        <v>9.7231779803311769E-2</v>
      </c>
      <c r="AK258" s="113">
        <f t="shared" si="105"/>
        <v>9.2002368502476006E-2</v>
      </c>
      <c r="AL258" s="113">
        <f t="shared" si="105"/>
        <v>0.10877082905496094</v>
      </c>
      <c r="AM258" s="113">
        <f t="shared" si="105"/>
        <v>7.9623099975662415E-2</v>
      </c>
      <c r="AN258" s="113">
        <f t="shared" si="105"/>
        <v>0.12106428105784683</v>
      </c>
    </row>
    <row r="259" spans="3:40" x14ac:dyDescent="0.55000000000000004">
      <c r="C259" s="66"/>
      <c r="D259" s="66"/>
      <c r="E259" s="66"/>
      <c r="F259" s="66"/>
      <c r="G259" s="66"/>
      <c r="H259" s="66"/>
      <c r="I259" s="66"/>
      <c r="J259" s="66"/>
      <c r="K259" s="66"/>
      <c r="L259" s="66"/>
      <c r="M259" s="66"/>
      <c r="N259" s="66"/>
      <c r="O259" s="66"/>
      <c r="P259" s="66"/>
    </row>
    <row r="260" spans="3:40" x14ac:dyDescent="0.55000000000000004">
      <c r="C260" s="67" t="s">
        <v>470</v>
      </c>
      <c r="D260" s="66"/>
      <c r="E260" s="66"/>
      <c r="F260" s="66"/>
      <c r="G260" s="66"/>
      <c r="H260" s="66"/>
      <c r="I260" s="66"/>
      <c r="J260" s="66"/>
      <c r="K260" s="66"/>
      <c r="L260" s="66"/>
      <c r="M260" s="66"/>
      <c r="N260" s="66"/>
      <c r="O260" s="66"/>
      <c r="P260" s="66"/>
    </row>
    <row r="261" spans="3:40" x14ac:dyDescent="0.55000000000000004">
      <c r="C261" s="66" t="s">
        <v>474</v>
      </c>
      <c r="D261" s="66"/>
      <c r="E261" s="66"/>
      <c r="F261" s="66"/>
      <c r="G261" s="66"/>
      <c r="H261" s="66">
        <f>'Op Metrics - feeder'!AE67/1000</f>
        <v>3.5</v>
      </c>
      <c r="I261" s="66">
        <f>'Op Metrics - feeder'!AF67/1000</f>
        <v>5.3</v>
      </c>
      <c r="J261" s="66">
        <f>'Op Metrics - feeder'!AG67/1000</f>
        <v>5.4</v>
      </c>
      <c r="K261" s="212">
        <f>'Op Metrics - feeder'!AH67/1000</f>
        <v>7</v>
      </c>
      <c r="L261" s="66">
        <f>'Op Metrics - feeder'!AI67/1000</f>
        <v>5.6</v>
      </c>
      <c r="M261" s="66">
        <f>'Op Metrics - feeder'!AJ67/1000</f>
        <v>6.4</v>
      </c>
      <c r="N261" s="66">
        <f>'Op Metrics - feeder'!AK67/1000</f>
        <v>6.7</v>
      </c>
      <c r="O261" s="66">
        <f>'Op Metrics - feeder'!AL67/1000</f>
        <v>8.6</v>
      </c>
      <c r="P261" s="133">
        <f>'Op Metrics - feeder'!AM67/1000</f>
        <v>6.98</v>
      </c>
      <c r="Q261" s="133">
        <f>'Op Metrics - feeder'!AN67/1000</f>
        <v>7.75</v>
      </c>
      <c r="R261" s="133">
        <f>(1+AI261)*N261</f>
        <v>8.0399999999999991</v>
      </c>
      <c r="S261" s="133">
        <f>BNPL!E42-P261-Q261-R261</f>
        <v>10.263000000000002</v>
      </c>
      <c r="T261" s="133">
        <f>(1+AK261)*P261</f>
        <v>8.5156000000000009</v>
      </c>
      <c r="U261" s="133">
        <f>(1+AL261)*Q261</f>
        <v>9.61</v>
      </c>
      <c r="V261" s="133">
        <f>(1+AM261)*R261</f>
        <v>10.049999999999999</v>
      </c>
      <c r="W261" s="133">
        <f>BNPL!F42-T261-U261-V261</f>
        <v>13.115650000000008</v>
      </c>
      <c r="AB261" s="113" t="e">
        <f t="shared" ref="AB261:AH261" si="106">K261/G261-1</f>
        <v>#DIV/0!</v>
      </c>
      <c r="AC261" s="113">
        <f t="shared" si="106"/>
        <v>0.59999999999999987</v>
      </c>
      <c r="AD261" s="113">
        <f t="shared" si="106"/>
        <v>0.20754716981132093</v>
      </c>
      <c r="AE261" s="113">
        <f t="shared" si="106"/>
        <v>0.2407407407407407</v>
      </c>
      <c r="AF261" s="113">
        <f t="shared" si="106"/>
        <v>0.22857142857142843</v>
      </c>
      <c r="AG261" s="113">
        <f t="shared" si="106"/>
        <v>0.24642857142857166</v>
      </c>
      <c r="AH261" s="113">
        <f t="shared" si="106"/>
        <v>0.2109375</v>
      </c>
      <c r="AI261" s="179">
        <v>0.2</v>
      </c>
      <c r="AJ261" s="113">
        <f>S261/O261-1</f>
        <v>0.19337209302325609</v>
      </c>
      <c r="AK261" s="179">
        <v>0.22</v>
      </c>
      <c r="AL261" s="179">
        <v>0.24</v>
      </c>
      <c r="AM261" s="179">
        <v>0.25</v>
      </c>
      <c r="AN261" s="113">
        <f>W261/S261-1</f>
        <v>0.27795478904803717</v>
      </c>
    </row>
    <row r="262" spans="3:40" x14ac:dyDescent="0.55000000000000004">
      <c r="C262" s="67"/>
      <c r="D262" s="66"/>
      <c r="E262" s="66"/>
      <c r="F262" s="66"/>
      <c r="G262" s="66"/>
      <c r="H262" s="66"/>
      <c r="I262" s="66"/>
      <c r="J262" s="66"/>
      <c r="K262" s="66"/>
      <c r="L262" s="66"/>
      <c r="M262" s="66"/>
      <c r="N262" s="66"/>
      <c r="O262" s="66"/>
      <c r="P262" s="66"/>
    </row>
    <row r="263" spans="3:40" x14ac:dyDescent="0.55000000000000004">
      <c r="C263" s="66" t="s">
        <v>90</v>
      </c>
      <c r="D263" s="66"/>
      <c r="E263" s="66"/>
      <c r="F263" s="66"/>
      <c r="G263" s="66"/>
      <c r="H263" s="140">
        <f>BNPL!U25</f>
        <v>129.76400000000012</v>
      </c>
      <c r="I263" s="140">
        <f>BNPL!V25</f>
        <v>208.125</v>
      </c>
      <c r="J263" s="140">
        <f>BNPL!W25</f>
        <v>209.93299999999999</v>
      </c>
      <c r="K263" s="140">
        <f>BNPL!X25</f>
        <v>263.5619999999999</v>
      </c>
      <c r="L263" s="140">
        <f>BNPL!Y25</f>
        <v>223.71600000000035</v>
      </c>
      <c r="M263" s="140">
        <f>BNPL!Z25</f>
        <v>235.4369999999999</v>
      </c>
      <c r="N263" s="140">
        <f>BNPL!AB25</f>
        <v>257.9399999999996</v>
      </c>
      <c r="O263" s="140">
        <f>BNPL!AC25</f>
        <v>330</v>
      </c>
      <c r="P263" s="140">
        <f>BNPL!AD25</f>
        <v>279.64500000000044</v>
      </c>
      <c r="Q263" s="140">
        <f>BNPL!AE25</f>
        <v>284.87876999999986</v>
      </c>
      <c r="R263" s="140">
        <f>R264*R261*1000</f>
        <v>301.49999999999994</v>
      </c>
      <c r="S263" s="140">
        <f>BNPL!E46-P263-Q263-R263</f>
        <v>372.71372999999977</v>
      </c>
      <c r="T263" s="140">
        <f>T264*T261*1000</f>
        <v>332.10840000000002</v>
      </c>
      <c r="U263" s="140">
        <f>U264*U261*1000</f>
        <v>355.56999999999994</v>
      </c>
      <c r="V263" s="140">
        <f>V264*V261*1000</f>
        <v>371.84999999999997</v>
      </c>
      <c r="W263" s="140">
        <f>BNPL!F46-T263-U263-V263</f>
        <v>488.89347500000002</v>
      </c>
      <c r="AB263" s="113" t="e">
        <f t="shared" ref="AB263:AN263" si="107">K263/G263-1</f>
        <v>#DIV/0!</v>
      </c>
      <c r="AC263" s="113">
        <f t="shared" si="107"/>
        <v>0.72402207083628856</v>
      </c>
      <c r="AD263" s="113">
        <f t="shared" si="107"/>
        <v>0.13122882882882836</v>
      </c>
      <c r="AE263" s="113">
        <f t="shared" si="107"/>
        <v>0.22867772098717021</v>
      </c>
      <c r="AF263" s="113">
        <f t="shared" si="107"/>
        <v>0.25207731008263767</v>
      </c>
      <c r="AG263" s="113">
        <f t="shared" si="107"/>
        <v>0.25</v>
      </c>
      <c r="AH263" s="113">
        <f t="shared" si="107"/>
        <v>0.20999999999999996</v>
      </c>
      <c r="AI263" s="113">
        <f t="shared" si="107"/>
        <v>0.16887648290300228</v>
      </c>
      <c r="AJ263" s="113">
        <f t="shared" si="107"/>
        <v>0.12943554545454483</v>
      </c>
      <c r="AK263" s="113">
        <f t="shared" si="107"/>
        <v>0.18760714477283513</v>
      </c>
      <c r="AL263" s="113">
        <f t="shared" si="107"/>
        <v>0.24814495653712676</v>
      </c>
      <c r="AM263" s="113">
        <f t="shared" si="107"/>
        <v>0.23333333333333339</v>
      </c>
      <c r="AN263" s="113">
        <f t="shared" si="107"/>
        <v>0.31171308070674053</v>
      </c>
    </row>
    <row r="264" spans="3:40" x14ac:dyDescent="0.55000000000000004">
      <c r="C264" s="66" t="s">
        <v>475</v>
      </c>
      <c r="D264" s="66"/>
      <c r="E264" s="66"/>
      <c r="F264" s="66"/>
      <c r="G264" s="66"/>
      <c r="H264" s="171">
        <f>H263/(H261*1000)</f>
        <v>3.7075428571428606E-2</v>
      </c>
      <c r="I264" s="171">
        <f t="shared" ref="I264:S264" si="108">I263/(I261*1000)</f>
        <v>3.92688679245283E-2</v>
      </c>
      <c r="J264" s="171">
        <f t="shared" si="108"/>
        <v>3.8876481481481477E-2</v>
      </c>
      <c r="K264" s="171">
        <f t="shared" si="108"/>
        <v>3.7651714285714274E-2</v>
      </c>
      <c r="L264" s="171">
        <f t="shared" si="108"/>
        <v>3.9949285714285777E-2</v>
      </c>
      <c r="M264" s="171">
        <f t="shared" si="108"/>
        <v>3.6787031249999984E-2</v>
      </c>
      <c r="N264" s="171">
        <f t="shared" si="108"/>
        <v>3.8498507462686508E-2</v>
      </c>
      <c r="O264" s="171">
        <f t="shared" si="108"/>
        <v>3.8372093023255817E-2</v>
      </c>
      <c r="P264" s="171">
        <f t="shared" si="108"/>
        <v>4.0063753581661955E-2</v>
      </c>
      <c r="Q264" s="171">
        <f t="shared" si="108"/>
        <v>3.6758550967741915E-2</v>
      </c>
      <c r="R264" s="138">
        <v>3.7499999999999999E-2</v>
      </c>
      <c r="S264" s="171">
        <f t="shared" si="108"/>
        <v>3.6316255480853522E-2</v>
      </c>
      <c r="T264" s="138">
        <v>3.9E-2</v>
      </c>
      <c r="U264" s="138">
        <v>3.6999999999999998E-2</v>
      </c>
      <c r="V264" s="138">
        <v>3.6999999999999998E-2</v>
      </c>
      <c r="W264" s="171">
        <f>W263/(W261*1000)</f>
        <v>3.7275581080617411E-2</v>
      </c>
      <c r="AB264" s="113"/>
      <c r="AC264" s="113"/>
      <c r="AD264" s="113"/>
      <c r="AE264" s="113"/>
      <c r="AF264" s="113"/>
      <c r="AG264" s="113"/>
      <c r="AH264" s="113"/>
      <c r="AI264" s="113"/>
      <c r="AJ264" s="113"/>
    </row>
    <row r="265" spans="3:40" x14ac:dyDescent="0.55000000000000004">
      <c r="C265" s="66"/>
      <c r="D265" s="66"/>
      <c r="E265" s="66"/>
      <c r="F265" s="66"/>
      <c r="G265" s="66"/>
      <c r="H265" s="140"/>
      <c r="I265" s="140"/>
      <c r="J265" s="140"/>
      <c r="K265" s="140"/>
      <c r="L265" s="140"/>
      <c r="M265" s="140"/>
      <c r="N265" s="140"/>
      <c r="O265" s="140"/>
      <c r="P265" s="140"/>
      <c r="AB265" s="113"/>
      <c r="AC265" s="113"/>
      <c r="AD265" s="113"/>
      <c r="AE265" s="113"/>
      <c r="AF265" s="113"/>
      <c r="AG265" s="113"/>
      <c r="AH265" s="113"/>
      <c r="AI265" s="113"/>
      <c r="AJ265" s="113"/>
    </row>
    <row r="266" spans="3:40" x14ac:dyDescent="0.55000000000000004">
      <c r="C266" s="66" t="s">
        <v>471</v>
      </c>
      <c r="D266" s="66"/>
      <c r="E266" s="66"/>
      <c r="F266" s="66"/>
      <c r="G266" s="66"/>
      <c r="H266" s="140">
        <f>BNPL!U26</f>
        <v>37.483000000000175</v>
      </c>
      <c r="I266" s="140">
        <f>BNPL!V26</f>
        <v>58.476999999999862</v>
      </c>
      <c r="J266" s="140">
        <f>BNPL!W26</f>
        <v>60.202999999999975</v>
      </c>
      <c r="K266" s="140">
        <f>BNPL!X26</f>
        <v>67.069999999999709</v>
      </c>
      <c r="L266" s="140">
        <f>BNPL!Y26</f>
        <v>66.287999999999556</v>
      </c>
      <c r="M266" s="140">
        <f>BNPL!Z26</f>
        <v>66.957000000000335</v>
      </c>
      <c r="N266" s="140">
        <f>BNPL!AB26</f>
        <v>70.677000000000589</v>
      </c>
      <c r="O266" s="140">
        <f>BNPL!AC26</f>
        <v>88</v>
      </c>
      <c r="P266" s="140">
        <f>BNPL!AD26</f>
        <v>74.572000000000145</v>
      </c>
      <c r="Q266" s="140">
        <f>BNPL!AE26</f>
        <v>75.967671999999965</v>
      </c>
      <c r="R266" s="140">
        <f t="shared" ref="R266:W266" si="109">R263-R267</f>
        <v>78.389999999999986</v>
      </c>
      <c r="S266" s="140">
        <f t="shared" si="109"/>
        <v>117.91682800000001</v>
      </c>
      <c r="T266" s="140">
        <f t="shared" si="109"/>
        <v>89.669268000000017</v>
      </c>
      <c r="U266" s="140">
        <f t="shared" si="109"/>
        <v>96.003899999999987</v>
      </c>
      <c r="V266" s="140">
        <f t="shared" si="109"/>
        <v>100.39949999999999</v>
      </c>
      <c r="W266" s="140">
        <f t="shared" si="109"/>
        <v>147.485457</v>
      </c>
    </row>
    <row r="267" spans="3:40" x14ac:dyDescent="0.55000000000000004">
      <c r="C267" s="66" t="s">
        <v>472</v>
      </c>
      <c r="D267" s="66"/>
      <c r="E267" s="66"/>
      <c r="F267" s="66"/>
      <c r="G267" s="66"/>
      <c r="H267" s="140">
        <f>BNPL!U27</f>
        <v>92.280999999999949</v>
      </c>
      <c r="I267" s="140">
        <f>BNPL!V27</f>
        <v>149.64800000000014</v>
      </c>
      <c r="J267" s="140">
        <f>BNPL!W27</f>
        <v>149.73000000000002</v>
      </c>
      <c r="K267" s="140">
        <f>BNPL!X27</f>
        <v>196.49200000000019</v>
      </c>
      <c r="L267" s="140">
        <f>BNPL!Y27</f>
        <v>157.42800000000079</v>
      </c>
      <c r="M267" s="140">
        <f>BNPL!Z27</f>
        <v>168.47999999999956</v>
      </c>
      <c r="N267" s="140">
        <f>BNPL!AB27</f>
        <v>187.26299999999901</v>
      </c>
      <c r="O267" s="140">
        <f>BNPL!AC27</f>
        <v>242</v>
      </c>
      <c r="P267" s="140">
        <f>BNPL!AD27</f>
        <v>205.07300000000029</v>
      </c>
      <c r="Q267" s="140">
        <f>BNPL!AE27</f>
        <v>208.9110979999999</v>
      </c>
      <c r="R267" s="140">
        <f>R268*R263</f>
        <v>223.10999999999996</v>
      </c>
      <c r="S267" s="140">
        <f>BNPL!E48-P267-Q267-R267</f>
        <v>254.79690199999976</v>
      </c>
      <c r="T267" s="140">
        <f>T268*T263</f>
        <v>242.439132</v>
      </c>
      <c r="U267" s="140">
        <f>U268*U263</f>
        <v>259.56609999999995</v>
      </c>
      <c r="V267" s="140">
        <f>V268*V263</f>
        <v>271.45049999999998</v>
      </c>
      <c r="W267" s="140">
        <f>BNPL!F48-T267-U267-V267</f>
        <v>341.40801800000003</v>
      </c>
      <c r="AB267" s="113" t="e">
        <f t="shared" ref="AB267:AJ267" si="110">K267/G267-1</f>
        <v>#DIV/0!</v>
      </c>
      <c r="AC267" s="113">
        <f t="shared" si="110"/>
        <v>0.70596330772315952</v>
      </c>
      <c r="AD267" s="113">
        <f t="shared" si="110"/>
        <v>0.12584197583662604</v>
      </c>
      <c r="AE267" s="113">
        <f t="shared" si="110"/>
        <v>0.25067120817470778</v>
      </c>
      <c r="AF267" s="113">
        <f t="shared" si="110"/>
        <v>0.23160230441951724</v>
      </c>
      <c r="AG267" s="113">
        <f t="shared" si="110"/>
        <v>0.30264628909723346</v>
      </c>
      <c r="AH267" s="113">
        <f t="shared" si="110"/>
        <v>0.23997565289648892</v>
      </c>
      <c r="AI267" s="113">
        <f t="shared" si="110"/>
        <v>0.19142596241650045</v>
      </c>
      <c r="AJ267" s="113">
        <f t="shared" si="110"/>
        <v>5.2879760330577508E-2</v>
      </c>
    </row>
    <row r="268" spans="3:40" x14ac:dyDescent="0.55000000000000004">
      <c r="C268" s="66" t="s">
        <v>171</v>
      </c>
      <c r="D268" s="66"/>
      <c r="E268" s="66"/>
      <c r="F268" s="66"/>
      <c r="G268" s="66"/>
      <c r="H268" s="134">
        <f>H267/H263</f>
        <v>0.71114484756943264</v>
      </c>
      <c r="I268" s="134">
        <f t="shared" ref="I268:S268" si="111">I267/I263</f>
        <v>0.71902942942943004</v>
      </c>
      <c r="J268" s="134">
        <f t="shared" si="111"/>
        <v>0.71322755355280032</v>
      </c>
      <c r="K268" s="134">
        <f t="shared" si="111"/>
        <v>0.74552477215987234</v>
      </c>
      <c r="L268" s="134">
        <f t="shared" si="111"/>
        <v>0.70369575712063759</v>
      </c>
      <c r="M268" s="134">
        <f t="shared" si="111"/>
        <v>0.71560544859134134</v>
      </c>
      <c r="N268" s="134">
        <f t="shared" si="111"/>
        <v>0.72599441730634762</v>
      </c>
      <c r="O268" s="134">
        <f t="shared" si="111"/>
        <v>0.73333333333333328</v>
      </c>
      <c r="P268" s="134">
        <f t="shared" si="111"/>
        <v>0.73333333333333328</v>
      </c>
      <c r="Q268" s="134">
        <f>Q267/Q263</f>
        <v>0.73333333333333328</v>
      </c>
      <c r="R268" s="139">
        <v>0.74</v>
      </c>
      <c r="S268" s="134">
        <f t="shared" si="111"/>
        <v>0.6836262833676664</v>
      </c>
      <c r="T268" s="139">
        <v>0.73</v>
      </c>
      <c r="U268" s="139">
        <v>0.73</v>
      </c>
      <c r="V268" s="139">
        <v>0.73</v>
      </c>
      <c r="W268" s="134">
        <f>W267/W263</f>
        <v>0.69832803147965927</v>
      </c>
      <c r="AB268" s="113"/>
      <c r="AC268" s="113"/>
      <c r="AD268" s="113"/>
      <c r="AE268" s="113"/>
      <c r="AF268" s="113"/>
      <c r="AG268" s="113"/>
      <c r="AH268" s="113"/>
      <c r="AI268" s="113"/>
      <c r="AJ268" s="113"/>
    </row>
    <row r="269" spans="3:40" x14ac:dyDescent="0.55000000000000004">
      <c r="C269" s="66"/>
      <c r="D269" s="66"/>
      <c r="E269" s="66"/>
      <c r="F269" s="66"/>
      <c r="G269" s="66"/>
      <c r="H269" s="66"/>
      <c r="I269" s="66"/>
      <c r="J269" s="66"/>
      <c r="K269" s="66"/>
      <c r="L269" s="66"/>
      <c r="M269" s="66"/>
      <c r="N269" s="66"/>
      <c r="O269" s="66"/>
      <c r="P269" s="66"/>
    </row>
    <row r="270" spans="3:40" x14ac:dyDescent="0.55000000000000004">
      <c r="C270" s="67" t="s">
        <v>646</v>
      </c>
      <c r="D270" s="66"/>
      <c r="E270" s="66"/>
      <c r="F270" s="66"/>
      <c r="G270" s="66"/>
      <c r="H270" s="86">
        <f>H255-H267</f>
        <v>577.51850000000002</v>
      </c>
      <c r="I270" s="86">
        <f t="shared" ref="I270:R270" si="112">I255-I267</f>
        <v>630.06899999999985</v>
      </c>
      <c r="J270" s="86">
        <f t="shared" si="112"/>
        <v>699.60500000000002</v>
      </c>
      <c r="K270" s="86">
        <f t="shared" si="112"/>
        <v>749.69799999999987</v>
      </c>
      <c r="L270" s="86">
        <f t="shared" si="112"/>
        <v>852.52599999999916</v>
      </c>
      <c r="M270" s="86">
        <f t="shared" si="112"/>
        <v>883.80500000000052</v>
      </c>
      <c r="N270" s="86">
        <f t="shared" si="112"/>
        <v>890.2265000000009</v>
      </c>
      <c r="O270" s="86">
        <f t="shared" si="112"/>
        <v>941.73399999999992</v>
      </c>
      <c r="P270" s="86">
        <f t="shared" si="112"/>
        <v>1053.4539999999997</v>
      </c>
      <c r="Q270" s="86">
        <f>Q255-Q267</f>
        <v>1090.0329020000001</v>
      </c>
      <c r="R270" s="86">
        <f t="shared" si="112"/>
        <v>1078.5670501925929</v>
      </c>
      <c r="S270" s="86">
        <f>S255-S267</f>
        <v>1114.2407191274069</v>
      </c>
      <c r="T270" s="86">
        <f>T255-T267</f>
        <v>1201.8072635565263</v>
      </c>
      <c r="U270" s="86">
        <f>U255-U267</f>
        <v>1259.6251605005266</v>
      </c>
      <c r="V270" s="86">
        <f>V255-V267</f>
        <v>1216.3563219365265</v>
      </c>
      <c r="W270" s="86">
        <f>W255-W267</f>
        <v>1262.2394548504203</v>
      </c>
      <c r="AC270" s="113">
        <f t="shared" ref="AC270:AJ270" si="113">L270/H270-1</f>
        <v>0.47618820868941714</v>
      </c>
      <c r="AD270" s="113">
        <f t="shared" si="113"/>
        <v>0.40271144906351641</v>
      </c>
      <c r="AE270" s="113">
        <f t="shared" si="113"/>
        <v>0.27247017960134778</v>
      </c>
      <c r="AF270" s="113">
        <f t="shared" si="113"/>
        <v>0.25615114352712709</v>
      </c>
      <c r="AG270" s="113">
        <f t="shared" si="113"/>
        <v>0.23568548056012451</v>
      </c>
      <c r="AH270" s="113">
        <f t="shared" si="113"/>
        <v>0.23334095416975398</v>
      </c>
      <c r="AI270" s="113">
        <f t="shared" si="113"/>
        <v>0.21156475368076744</v>
      </c>
      <c r="AJ270" s="113">
        <f t="shared" si="113"/>
        <v>0.18317987789270318</v>
      </c>
    </row>
    <row r="271" spans="3:40" x14ac:dyDescent="0.55000000000000004">
      <c r="C271" s="67" t="s">
        <v>649</v>
      </c>
      <c r="D271" s="66"/>
      <c r="E271" s="66"/>
      <c r="F271" s="66"/>
      <c r="G271" s="66"/>
      <c r="H271" s="209">
        <f t="shared" ref="H271:W271" si="114">H270/H247</f>
        <v>1.1934173003802282E-2</v>
      </c>
      <c r="I271" s="209">
        <f t="shared" si="114"/>
        <v>1.2791720805587133E-2</v>
      </c>
      <c r="J271" s="209">
        <f t="shared" si="114"/>
        <v>1.3649763920864713E-2</v>
      </c>
      <c r="K271" s="209">
        <f t="shared" si="114"/>
        <v>1.4026680137703935E-2</v>
      </c>
      <c r="L271" s="209">
        <f t="shared" si="114"/>
        <v>1.4159679776773836E-2</v>
      </c>
      <c r="M271" s="209">
        <f t="shared" si="114"/>
        <v>1.4432768306225105E-2</v>
      </c>
      <c r="N271" s="209">
        <f t="shared" si="114"/>
        <v>1.429853035656924E-2</v>
      </c>
      <c r="O271" s="209">
        <f t="shared" si="114"/>
        <v>1.4790394521924865E-2</v>
      </c>
      <c r="P271" s="209">
        <f t="shared" si="114"/>
        <v>1.4726413643670926E-2</v>
      </c>
      <c r="Q271" s="209">
        <f t="shared" si="114"/>
        <v>1.5384862627203569E-2</v>
      </c>
      <c r="R271" s="209">
        <f t="shared" si="114"/>
        <v>1.4934133973667059E-2</v>
      </c>
      <c r="S271" s="209">
        <f t="shared" si="114"/>
        <v>1.5183151600005461E-2</v>
      </c>
      <c r="T271" s="209">
        <f t="shared" si="114"/>
        <v>1.470370196072982E-2</v>
      </c>
      <c r="U271" s="209">
        <f t="shared" si="114"/>
        <v>1.5227273156429138E-2</v>
      </c>
      <c r="V271" s="209">
        <f t="shared" si="114"/>
        <v>1.4498495112500587E-2</v>
      </c>
      <c r="W271" s="209">
        <f t="shared" si="114"/>
        <v>1.4826228436470362E-2</v>
      </c>
    </row>
    <row r="272" spans="3:40" x14ac:dyDescent="0.55000000000000004">
      <c r="C272" s="67"/>
      <c r="D272" s="66"/>
      <c r="E272" s="66"/>
      <c r="F272" s="66"/>
      <c r="G272" s="66"/>
      <c r="H272" s="66"/>
      <c r="I272" s="66"/>
      <c r="J272" s="66"/>
      <c r="K272" s="66"/>
      <c r="L272" s="66"/>
      <c r="M272" s="66"/>
      <c r="N272" s="66"/>
      <c r="O272" s="66"/>
      <c r="P272" s="66"/>
    </row>
    <row r="273" spans="3:40" x14ac:dyDescent="0.55000000000000004">
      <c r="C273" s="67" t="s">
        <v>390</v>
      </c>
      <c r="D273" s="66"/>
      <c r="E273" s="66"/>
      <c r="F273" s="66"/>
      <c r="G273" s="66"/>
      <c r="H273" s="66"/>
      <c r="I273" s="66"/>
      <c r="J273" s="66"/>
      <c r="K273" s="66"/>
      <c r="L273" s="66"/>
      <c r="M273" s="66"/>
      <c r="N273" s="66"/>
      <c r="O273" s="66"/>
      <c r="P273" s="66"/>
    </row>
    <row r="274" spans="3:40" x14ac:dyDescent="0.55000000000000004">
      <c r="C274" s="66" t="s">
        <v>246</v>
      </c>
      <c r="D274" s="66"/>
      <c r="E274" s="66"/>
      <c r="F274" s="66"/>
      <c r="G274" s="66"/>
      <c r="H274" s="66"/>
      <c r="I274" s="66"/>
      <c r="J274" s="66"/>
      <c r="K274" s="66"/>
      <c r="L274" s="66"/>
      <c r="M274" s="66"/>
      <c r="N274" s="66"/>
      <c r="O274" s="66"/>
      <c r="P274" s="66"/>
    </row>
    <row r="275" spans="3:40" x14ac:dyDescent="0.55000000000000004">
      <c r="C275" s="66" t="str">
        <f t="shared" ref="C275:Q275" si="115">C27</f>
        <v xml:space="preserve">     Bitcoin revenue</v>
      </c>
      <c r="D275" s="69">
        <f t="shared" si="115"/>
        <v>3511.0680000000002</v>
      </c>
      <c r="E275" s="69">
        <f t="shared" si="115"/>
        <v>2724.2959999999998</v>
      </c>
      <c r="F275" s="69">
        <f t="shared" si="115"/>
        <v>1815.662</v>
      </c>
      <c r="G275" s="69">
        <f t="shared" si="115"/>
        <v>1961.6210000000001</v>
      </c>
      <c r="H275" s="69">
        <f t="shared" si="115"/>
        <v>1730.7929999999999</v>
      </c>
      <c r="I275" s="69">
        <f t="shared" si="115"/>
        <v>1785.885</v>
      </c>
      <c r="J275" s="69">
        <f t="shared" si="115"/>
        <v>1762.752</v>
      </c>
      <c r="K275" s="69">
        <f t="shared" si="115"/>
        <v>1833.4259999999999</v>
      </c>
      <c r="L275" s="69">
        <f t="shared" si="115"/>
        <v>2163.7510000000002</v>
      </c>
      <c r="M275" s="69">
        <f t="shared" si="115"/>
        <v>2390.884</v>
      </c>
      <c r="N275" s="69">
        <f t="shared" si="115"/>
        <v>2423.5839999999998</v>
      </c>
      <c r="O275" s="69">
        <f t="shared" si="115"/>
        <v>2520.0830000000001</v>
      </c>
      <c r="P275" s="69">
        <f t="shared" si="115"/>
        <v>2731.1239999999998</v>
      </c>
      <c r="Q275" s="69">
        <f t="shared" si="115"/>
        <v>2611.7429999999999</v>
      </c>
      <c r="R275" s="69">
        <f>R276/(1-R278)</f>
        <v>2592.5925925925926</v>
      </c>
      <c r="S275" s="69">
        <f>Master!I275-P275-Q275-R275</f>
        <v>2702.6386474074084</v>
      </c>
      <c r="T275" s="69">
        <f>T276/(1-T278)</f>
        <v>2713.2579650565262</v>
      </c>
      <c r="U275" s="69">
        <f>U276/(1-U278)</f>
        <v>2713.2579650565262</v>
      </c>
      <c r="V275" s="69">
        <f>V276/(1-V278)</f>
        <v>2713.2579650565262</v>
      </c>
      <c r="W275" s="69">
        <f>Master!J275-T275-U275-V275</f>
        <v>3030.2292568304233</v>
      </c>
      <c r="AB275" s="113">
        <f t="shared" ref="AB275:AF277" si="116">K275/G275-1</f>
        <v>-6.535156383419638E-2</v>
      </c>
      <c r="AC275" s="113">
        <f t="shared" si="116"/>
        <v>0.25015007571673809</v>
      </c>
      <c r="AD275" s="113">
        <f t="shared" si="116"/>
        <v>0.33876705386965011</v>
      </c>
      <c r="AE275" s="113">
        <f t="shared" si="116"/>
        <v>0.37488654104491159</v>
      </c>
      <c r="AF275" s="113">
        <f t="shared" si="116"/>
        <v>0.37452125147128945</v>
      </c>
      <c r="AG275" s="113">
        <f t="shared" ref="AG275:AH277" si="117">P275/L275-1</f>
        <v>0.26221732537616371</v>
      </c>
      <c r="AH275" s="113">
        <f t="shared" si="117"/>
        <v>9.2375456107448128E-2</v>
      </c>
      <c r="AI275" s="113">
        <f t="shared" ref="AI275:AN277" si="118">R275/N275-1</f>
        <v>6.9734984466225614E-2</v>
      </c>
      <c r="AJ275" s="113">
        <f t="shared" si="118"/>
        <v>7.244033129361549E-2</v>
      </c>
      <c r="AK275" s="113">
        <f t="shared" si="118"/>
        <v>-6.541641808820664E-3</v>
      </c>
      <c r="AL275" s="113">
        <f t="shared" si="118"/>
        <v>3.886866550672341E-2</v>
      </c>
      <c r="AM275" s="113">
        <f t="shared" si="118"/>
        <v>4.6542357950374313E-2</v>
      </c>
      <c r="AN275" s="113">
        <f t="shared" si="118"/>
        <v>0.12121139825232152</v>
      </c>
    </row>
    <row r="276" spans="3:40" x14ac:dyDescent="0.55000000000000004">
      <c r="C276" s="66" t="str">
        <f t="shared" ref="C276:Q276" si="119">C57</f>
        <v xml:space="preserve">     Bitcoin costs</v>
      </c>
      <c r="D276" s="69">
        <f t="shared" si="119"/>
        <v>3436.1350000000002</v>
      </c>
      <c r="E276" s="69">
        <f t="shared" si="119"/>
        <v>2669.6410000000001</v>
      </c>
      <c r="F276" s="69">
        <f t="shared" si="119"/>
        <v>1774.04</v>
      </c>
      <c r="G276" s="69">
        <f t="shared" si="119"/>
        <v>1915.1759999999999</v>
      </c>
      <c r="H276" s="69">
        <f t="shared" si="119"/>
        <v>1687.4590000000001</v>
      </c>
      <c r="I276" s="69">
        <f t="shared" si="119"/>
        <v>1744.425</v>
      </c>
      <c r="J276" s="69">
        <f t="shared" si="119"/>
        <v>1726.0509999999999</v>
      </c>
      <c r="K276" s="69">
        <f t="shared" si="119"/>
        <v>1798.798</v>
      </c>
      <c r="L276" s="69">
        <f t="shared" si="119"/>
        <v>2113.375</v>
      </c>
      <c r="M276" s="69">
        <f t="shared" si="119"/>
        <v>2346.6329999999998</v>
      </c>
      <c r="N276" s="69">
        <f t="shared" si="119"/>
        <v>2378.9059999999999</v>
      </c>
      <c r="O276" s="69">
        <f t="shared" si="119"/>
        <v>2454.1990000000001</v>
      </c>
      <c r="P276" s="69">
        <f t="shared" si="119"/>
        <v>2651.01</v>
      </c>
      <c r="Q276" s="69">
        <f t="shared" si="119"/>
        <v>2544.3290000000002</v>
      </c>
      <c r="R276" s="69">
        <f>R281*R282/1000000</f>
        <v>2520</v>
      </c>
      <c r="S276" s="69">
        <f>Master!I281-P276-Q276-R276</f>
        <v>2624.8924892800005</v>
      </c>
      <c r="T276" s="69">
        <f>T281*T282/1000000</f>
        <v>2640</v>
      </c>
      <c r="U276" s="69">
        <f>U281*U282/1000000</f>
        <v>2640</v>
      </c>
      <c r="V276" s="69">
        <f>V281*V282/1000000</f>
        <v>2640</v>
      </c>
      <c r="W276" s="69">
        <f>Master!J281-T276-U276-V276</f>
        <v>2948.4130668960006</v>
      </c>
      <c r="AB276" s="113">
        <f t="shared" si="116"/>
        <v>-6.0766216786342309E-2</v>
      </c>
      <c r="AC276" s="113">
        <f t="shared" si="116"/>
        <v>0.25240079907126622</v>
      </c>
      <c r="AD276" s="113">
        <f t="shared" si="116"/>
        <v>0.3452186250483682</v>
      </c>
      <c r="AE276" s="113">
        <f t="shared" si="116"/>
        <v>0.37823621665871987</v>
      </c>
      <c r="AF276" s="113">
        <f t="shared" si="116"/>
        <v>0.36435497482207557</v>
      </c>
      <c r="AG276" s="113">
        <f t="shared" si="117"/>
        <v>0.25439640385639084</v>
      </c>
      <c r="AH276" s="113">
        <f t="shared" si="117"/>
        <v>8.4246663197867111E-2</v>
      </c>
      <c r="AI276" s="113">
        <f t="shared" si="118"/>
        <v>5.931045615085262E-2</v>
      </c>
      <c r="AJ276" s="113">
        <f t="shared" si="118"/>
        <v>6.9551609009701476E-2</v>
      </c>
      <c r="AK276" s="113">
        <f t="shared" si="118"/>
        <v>-4.1531340885172519E-3</v>
      </c>
      <c r="AL276" s="113">
        <f t="shared" si="118"/>
        <v>3.7601662363632826E-2</v>
      </c>
      <c r="AM276" s="113">
        <f t="shared" si="118"/>
        <v>4.7619047619047672E-2</v>
      </c>
      <c r="AN276" s="113">
        <f t="shared" si="118"/>
        <v>0.12325098225441633</v>
      </c>
    </row>
    <row r="277" spans="3:40" x14ac:dyDescent="0.55000000000000004">
      <c r="C277" s="66" t="s">
        <v>247</v>
      </c>
      <c r="D277" s="69">
        <f>D275-D276</f>
        <v>74.932999999999993</v>
      </c>
      <c r="E277" s="69">
        <f t="shared" ref="E277:W277" si="120">E275-E276</f>
        <v>54.654999999999745</v>
      </c>
      <c r="F277" s="69">
        <f t="shared" si="120"/>
        <v>41.622000000000071</v>
      </c>
      <c r="G277" s="69">
        <f t="shared" si="120"/>
        <v>46.445000000000164</v>
      </c>
      <c r="H277" s="69">
        <f t="shared" si="120"/>
        <v>43.333999999999833</v>
      </c>
      <c r="I277" s="69">
        <f t="shared" si="120"/>
        <v>41.460000000000036</v>
      </c>
      <c r="J277" s="69">
        <f t="shared" si="120"/>
        <v>36.701000000000022</v>
      </c>
      <c r="K277" s="69">
        <f t="shared" si="120"/>
        <v>34.627999999999929</v>
      </c>
      <c r="L277" s="69">
        <f t="shared" si="120"/>
        <v>50.376000000000204</v>
      </c>
      <c r="M277" s="69">
        <f t="shared" si="120"/>
        <v>44.251000000000204</v>
      </c>
      <c r="N277" s="69">
        <f t="shared" si="120"/>
        <v>44.677999999999884</v>
      </c>
      <c r="O277" s="69">
        <f t="shared" si="120"/>
        <v>65.884000000000015</v>
      </c>
      <c r="P277" s="69">
        <f t="shared" si="120"/>
        <v>80.113999999999578</v>
      </c>
      <c r="Q277" s="69">
        <f t="shared" si="120"/>
        <v>67.41399999999976</v>
      </c>
      <c r="R277" s="69">
        <f t="shared" si="120"/>
        <v>72.592592592592609</v>
      </c>
      <c r="S277" s="69">
        <f>S275-S276</f>
        <v>77.746158127407853</v>
      </c>
      <c r="T277" s="69">
        <f t="shared" si="120"/>
        <v>73.257965056526245</v>
      </c>
      <c r="U277" s="69">
        <f t="shared" si="120"/>
        <v>73.257965056526245</v>
      </c>
      <c r="V277" s="69">
        <f t="shared" si="120"/>
        <v>73.257965056526245</v>
      </c>
      <c r="W277" s="69">
        <f t="shared" si="120"/>
        <v>81.816189934422709</v>
      </c>
      <c r="AB277" s="113">
        <f t="shared" si="116"/>
        <v>-0.25442997093336617</v>
      </c>
      <c r="AC277" s="113">
        <f t="shared" si="116"/>
        <v>0.16250519222782112</v>
      </c>
      <c r="AD277" s="113">
        <f t="shared" si="116"/>
        <v>6.7317896767973062E-2</v>
      </c>
      <c r="AE277" s="113">
        <f t="shared" si="116"/>
        <v>0.21735102585760213</v>
      </c>
      <c r="AF277" s="113">
        <f t="shared" si="116"/>
        <v>0.90262215548111779</v>
      </c>
      <c r="AG277" s="113">
        <f t="shared" si="117"/>
        <v>0.59032078767665652</v>
      </c>
      <c r="AH277" s="113">
        <f t="shared" si="117"/>
        <v>0.52344579783506484</v>
      </c>
      <c r="AI277" s="113">
        <f t="shared" si="118"/>
        <v>0.62479503542219428</v>
      </c>
      <c r="AJ277" s="113">
        <f t="shared" si="118"/>
        <v>0.18004611328103692</v>
      </c>
      <c r="AK277" s="113">
        <f t="shared" si="118"/>
        <v>-8.5578487448802587E-2</v>
      </c>
      <c r="AL277" s="113">
        <f t="shared" si="118"/>
        <v>8.6687706656280783E-2</v>
      </c>
      <c r="AM277" s="113">
        <f t="shared" si="118"/>
        <v>9.1658451664327067E-3</v>
      </c>
      <c r="AN277" s="113">
        <f t="shared" si="118"/>
        <v>5.2350262765975097E-2</v>
      </c>
    </row>
    <row r="278" spans="3:40" x14ac:dyDescent="0.55000000000000004">
      <c r="C278" s="66" t="s">
        <v>601</v>
      </c>
      <c r="D278" s="69"/>
      <c r="E278" s="69"/>
      <c r="F278" s="69"/>
      <c r="G278" s="171">
        <f>G277/G275</f>
        <v>2.3676846852679574E-2</v>
      </c>
      <c r="H278" s="171">
        <f t="shared" ref="H278:S278" si="121">H277/H275</f>
        <v>2.5037078379679046E-2</v>
      </c>
      <c r="I278" s="171">
        <f t="shared" si="121"/>
        <v>2.3215380609613742E-2</v>
      </c>
      <c r="J278" s="171">
        <f t="shared" si="121"/>
        <v>2.0820285553498179E-2</v>
      </c>
      <c r="K278" s="171">
        <f t="shared" si="121"/>
        <v>1.8887045345707943E-2</v>
      </c>
      <c r="L278" s="171">
        <f t="shared" si="121"/>
        <v>2.3281791666416422E-2</v>
      </c>
      <c r="M278" s="171">
        <f t="shared" si="121"/>
        <v>1.850821704440709E-2</v>
      </c>
      <c r="N278" s="171">
        <f t="shared" si="121"/>
        <v>1.843468185959302E-2</v>
      </c>
      <c r="O278" s="171">
        <f t="shared" si="121"/>
        <v>2.6143583366103423E-2</v>
      </c>
      <c r="P278" s="171">
        <f t="shared" si="121"/>
        <v>2.9333710223336466E-2</v>
      </c>
      <c r="Q278" s="171">
        <f t="shared" si="121"/>
        <v>2.581188118432777E-2</v>
      </c>
      <c r="R278" s="138">
        <v>2.8000000000000001E-2</v>
      </c>
      <c r="S278" s="171">
        <f t="shared" si="121"/>
        <v>2.876676029257123E-2</v>
      </c>
      <c r="T278" s="138">
        <v>2.7E-2</v>
      </c>
      <c r="U278" s="138">
        <v>2.7E-2</v>
      </c>
      <c r="V278" s="138">
        <v>2.7E-2</v>
      </c>
      <c r="W278" s="171">
        <f>W277/W275</f>
        <v>2.7000000000000423E-2</v>
      </c>
      <c r="AB278" s="113"/>
      <c r="AC278" s="113"/>
      <c r="AD278" s="113"/>
      <c r="AE278" s="113"/>
      <c r="AF278" s="113"/>
      <c r="AG278" s="113"/>
      <c r="AH278" s="113"/>
      <c r="AI278" s="113"/>
      <c r="AJ278" s="113"/>
    </row>
    <row r="279" spans="3:40" x14ac:dyDescent="0.55000000000000004">
      <c r="C279" s="66" t="s">
        <v>469</v>
      </c>
      <c r="D279" s="69"/>
      <c r="E279" s="69"/>
      <c r="F279" s="69"/>
      <c r="G279" s="171">
        <f t="shared" ref="G279:W279" si="122">G277/G60</f>
        <v>3.9292174051345184E-2</v>
      </c>
      <c r="H279" s="171">
        <f t="shared" si="122"/>
        <v>3.3463581886699074E-2</v>
      </c>
      <c r="I279" s="171">
        <f t="shared" si="122"/>
        <v>2.8210836880668052E-2</v>
      </c>
      <c r="J279" s="171">
        <f t="shared" si="122"/>
        <v>2.3419856817321814E-2</v>
      </c>
      <c r="K279" s="171">
        <f t="shared" si="122"/>
        <v>2.0857790801682891E-2</v>
      </c>
      <c r="L279" s="171">
        <f t="shared" si="122"/>
        <v>2.9380887725535876E-2</v>
      </c>
      <c r="M279" s="171">
        <f t="shared" si="122"/>
        <v>2.3713078766905007E-2</v>
      </c>
      <c r="N279" s="171">
        <f t="shared" si="122"/>
        <v>2.3533947975426194E-2</v>
      </c>
      <c r="O279" s="171">
        <f t="shared" si="122"/>
        <v>3.2523230879199436E-2</v>
      </c>
      <c r="P279" s="171">
        <f t="shared" si="122"/>
        <v>3.825019467904317E-2</v>
      </c>
      <c r="Q279" s="171">
        <f t="shared" si="122"/>
        <v>3.0183390941490303E-2</v>
      </c>
      <c r="R279" s="171">
        <f t="shared" si="122"/>
        <v>3.2424803544050453E-2</v>
      </c>
      <c r="S279" s="171">
        <f t="shared" si="122"/>
        <v>3.3358033505286287E-2</v>
      </c>
      <c r="T279" s="171">
        <f t="shared" si="122"/>
        <v>3.0990210021554075E-2</v>
      </c>
      <c r="U279" s="171">
        <f t="shared" si="122"/>
        <v>2.8638710389222114E-2</v>
      </c>
      <c r="V279" s="171">
        <f t="shared" si="122"/>
        <v>2.866857024300325E-2</v>
      </c>
      <c r="W279" s="171">
        <f t="shared" si="122"/>
        <v>3.0434777413947765E-2</v>
      </c>
      <c r="AB279" s="113"/>
      <c r="AC279" s="113"/>
      <c r="AD279" s="113"/>
      <c r="AE279" s="113"/>
      <c r="AF279" s="113"/>
      <c r="AG279" s="113"/>
      <c r="AH279" s="113"/>
      <c r="AI279" s="113"/>
      <c r="AJ279" s="113"/>
    </row>
    <row r="280" spans="3:40" x14ac:dyDescent="0.55000000000000004">
      <c r="C280" s="66"/>
      <c r="D280" s="66"/>
      <c r="E280" s="66"/>
      <c r="F280" s="66"/>
      <c r="G280" s="66"/>
      <c r="H280" s="66"/>
      <c r="I280" s="66"/>
      <c r="J280" s="66"/>
      <c r="K280" s="66"/>
      <c r="L280" s="66"/>
      <c r="M280" s="66"/>
      <c r="N280" s="66"/>
      <c r="O280" s="66"/>
      <c r="P280" s="66"/>
    </row>
    <row r="281" spans="3:40" x14ac:dyDescent="0.55000000000000004">
      <c r="C281" s="66" t="s">
        <v>476</v>
      </c>
      <c r="D281" s="66"/>
      <c r="E281" s="66"/>
      <c r="F281" s="66"/>
      <c r="G281" s="66"/>
      <c r="H281" s="66"/>
      <c r="I281" s="66"/>
      <c r="J281" s="66">
        <v>21300</v>
      </c>
      <c r="K281" s="66">
        <v>18089</v>
      </c>
      <c r="L281" s="66">
        <v>22550</v>
      </c>
      <c r="M281" s="66">
        <v>28090</v>
      </c>
      <c r="N281" s="66">
        <v>28080</v>
      </c>
      <c r="O281" s="66">
        <v>36140</v>
      </c>
      <c r="P281" s="66">
        <v>53250</v>
      </c>
      <c r="Q281" s="66">
        <v>65708</v>
      </c>
      <c r="R281" s="177">
        <v>60000</v>
      </c>
      <c r="S281" s="177">
        <v>60000</v>
      </c>
      <c r="T281" s="177">
        <f>S281</f>
        <v>60000</v>
      </c>
      <c r="U281" s="177">
        <f>T281</f>
        <v>60000</v>
      </c>
      <c r="V281" s="177">
        <f>U281</f>
        <v>60000</v>
      </c>
      <c r="W281" s="177">
        <f>V281</f>
        <v>60000</v>
      </c>
    </row>
    <row r="282" spans="3:40" x14ac:dyDescent="0.55000000000000004">
      <c r="C282" s="66" t="s">
        <v>602</v>
      </c>
      <c r="D282" s="66"/>
      <c r="E282" s="66"/>
      <c r="F282" s="66"/>
      <c r="G282" s="66"/>
      <c r="H282" s="66"/>
      <c r="I282" s="66"/>
      <c r="J282" s="140">
        <f>J276*1000000/J281</f>
        <v>81035.258215962444</v>
      </c>
      <c r="K282" s="140">
        <f t="shared" ref="K282:Q282" si="123">K276*1000000/K281</f>
        <v>99441.539056885405</v>
      </c>
      <c r="L282" s="140">
        <f t="shared" si="123"/>
        <v>93719.512195121948</v>
      </c>
      <c r="M282" s="140">
        <f t="shared" si="123"/>
        <v>83539.800640797432</v>
      </c>
      <c r="N282" s="140">
        <f t="shared" si="123"/>
        <v>84718.874643874646</v>
      </c>
      <c r="O282" s="140">
        <f t="shared" si="123"/>
        <v>67908.10736026564</v>
      </c>
      <c r="P282" s="140">
        <f t="shared" si="123"/>
        <v>49784.225352112677</v>
      </c>
      <c r="Q282" s="140">
        <f t="shared" si="123"/>
        <v>38721.7538199306</v>
      </c>
      <c r="R282" s="177">
        <v>42000</v>
      </c>
      <c r="S282" s="140">
        <f>S276*1000000/S281</f>
        <v>43748.208154666681</v>
      </c>
      <c r="T282" s="177">
        <v>44000</v>
      </c>
      <c r="U282" s="177">
        <v>44000</v>
      </c>
      <c r="V282" s="177">
        <v>44000</v>
      </c>
      <c r="W282" s="140">
        <f>W276*1000000/W281</f>
        <v>49140.217781600004</v>
      </c>
    </row>
    <row r="283" spans="3:40" x14ac:dyDescent="0.55000000000000004">
      <c r="C283" s="66"/>
      <c r="D283" s="66"/>
      <c r="E283" s="66"/>
      <c r="F283" s="66"/>
      <c r="G283" s="66"/>
      <c r="H283" s="66"/>
      <c r="I283" s="66"/>
      <c r="J283" s="66"/>
      <c r="K283" s="66"/>
      <c r="L283" s="66"/>
      <c r="M283" s="66"/>
      <c r="N283" s="66"/>
      <c r="O283" s="66"/>
      <c r="P283" s="66"/>
    </row>
    <row r="284" spans="3:40" x14ac:dyDescent="0.55000000000000004">
      <c r="C284" s="67" t="s">
        <v>647</v>
      </c>
      <c r="D284" s="66"/>
      <c r="E284" s="66"/>
      <c r="F284" s="66"/>
      <c r="G284" s="66"/>
      <c r="H284" s="66"/>
      <c r="I284" s="66"/>
      <c r="J284" s="66"/>
      <c r="K284" s="66"/>
      <c r="L284" s="66"/>
      <c r="M284" s="66"/>
      <c r="N284" s="66"/>
      <c r="O284" s="66"/>
      <c r="P284" s="66"/>
    </row>
    <row r="285" spans="3:40" x14ac:dyDescent="0.55000000000000004">
      <c r="C285" s="66" t="s">
        <v>478</v>
      </c>
      <c r="D285" s="66"/>
      <c r="E285" s="66"/>
      <c r="F285" s="66"/>
      <c r="G285" s="66"/>
      <c r="H285" s="69">
        <f t="shared" ref="H285:Q285" si="124">H252-H275-H263</f>
        <v>666.66799999999989</v>
      </c>
      <c r="I285" s="69">
        <f t="shared" si="124"/>
        <v>732.18549999999982</v>
      </c>
      <c r="J285" s="69">
        <f t="shared" si="124"/>
        <v>817.16550000000007</v>
      </c>
      <c r="K285" s="69">
        <f t="shared" si="124"/>
        <v>891.54300000000012</v>
      </c>
      <c r="L285" s="69">
        <f t="shared" si="124"/>
        <v>996.69599999999946</v>
      </c>
      <c r="M285" s="69">
        <f t="shared" si="124"/>
        <v>1046.8445000000002</v>
      </c>
      <c r="N285" s="69">
        <f t="shared" si="124"/>
        <v>1032.4040000000005</v>
      </c>
      <c r="O285" s="69">
        <f t="shared" si="124"/>
        <v>1060.3469999999998</v>
      </c>
      <c r="P285" s="69">
        <f t="shared" si="124"/>
        <v>1162.1350000000002</v>
      </c>
      <c r="Q285" s="69">
        <f t="shared" si="124"/>
        <v>1232.2052300000005</v>
      </c>
      <c r="R285" s="69">
        <f>(1+AI285)*N285</f>
        <v>1197.5886400000004</v>
      </c>
      <c r="S285" s="69">
        <f>Master!I286-P285-Q285-R285</f>
        <v>1244.511753473053</v>
      </c>
      <c r="T285" s="69">
        <f>(1+AK285)*P285</f>
        <v>1359.6979500000002</v>
      </c>
      <c r="U285" s="69">
        <f>(1+AL285)*Q285</f>
        <v>1429.3580668000004</v>
      </c>
      <c r="V285" s="69">
        <f>(1+AM285)*R285</f>
        <v>1377.2269360000003</v>
      </c>
      <c r="W285" s="69">
        <f>Master!J286-T285-U285-V285</f>
        <v>1388.7327546730537</v>
      </c>
      <c r="AC285" s="113">
        <f t="shared" ref="AC285:AH286" si="125">L285/H285-1</f>
        <v>0.49504100991797961</v>
      </c>
      <c r="AD285" s="113">
        <f t="shared" si="125"/>
        <v>0.42975311584291198</v>
      </c>
      <c r="AE285" s="113">
        <f t="shared" si="125"/>
        <v>0.26339646008060846</v>
      </c>
      <c r="AF285" s="113">
        <f t="shared" si="125"/>
        <v>0.18933915694475711</v>
      </c>
      <c r="AG285" s="113">
        <f t="shared" si="125"/>
        <v>0.16598742244375497</v>
      </c>
      <c r="AH285" s="113">
        <f t="shared" si="125"/>
        <v>0.17706615452438279</v>
      </c>
      <c r="AI285" s="179">
        <v>0.16</v>
      </c>
      <c r="AJ285" s="113">
        <f>S285/O285-1</f>
        <v>0.17368347670437445</v>
      </c>
      <c r="AK285" s="179">
        <v>0.17</v>
      </c>
      <c r="AL285" s="179">
        <v>0.16</v>
      </c>
      <c r="AM285" s="179">
        <v>0.15</v>
      </c>
      <c r="AN285" s="113">
        <f>W285/S285-1</f>
        <v>0.11588560798845315</v>
      </c>
    </row>
    <row r="286" spans="3:40" x14ac:dyDescent="0.55000000000000004">
      <c r="C286" s="66" t="s">
        <v>473</v>
      </c>
      <c r="D286" s="66"/>
      <c r="E286" s="66"/>
      <c r="F286" s="66"/>
      <c r="G286" s="66"/>
      <c r="H286" s="69">
        <f t="shared" ref="H286:P286" si="126">H255-H277-H267</f>
        <v>534.18450000000018</v>
      </c>
      <c r="I286" s="69">
        <f t="shared" si="126"/>
        <v>588.60899999999981</v>
      </c>
      <c r="J286" s="69">
        <f t="shared" si="126"/>
        <v>662.904</v>
      </c>
      <c r="K286" s="69">
        <f t="shared" si="126"/>
        <v>715.06999999999994</v>
      </c>
      <c r="L286" s="69">
        <f t="shared" si="126"/>
        <v>802.14999999999895</v>
      </c>
      <c r="M286" s="69">
        <f t="shared" si="126"/>
        <v>839.55400000000031</v>
      </c>
      <c r="N286" s="69">
        <f t="shared" si="126"/>
        <v>845.54850000000101</v>
      </c>
      <c r="O286" s="69">
        <f t="shared" si="126"/>
        <v>875.84999999999991</v>
      </c>
      <c r="P286" s="69">
        <f t="shared" si="126"/>
        <v>973.34000000000015</v>
      </c>
      <c r="Q286" s="69">
        <f>Q255-Q277-Q267</f>
        <v>1022.6189020000003</v>
      </c>
      <c r="R286" s="69">
        <f>R287*R285</f>
        <v>1005.9744576000003</v>
      </c>
      <c r="S286" s="69">
        <f>S255-S277-S267</f>
        <v>1036.4945609999991</v>
      </c>
      <c r="T286" s="69">
        <f>T287*T285</f>
        <v>1128.5492985000001</v>
      </c>
      <c r="U286" s="69">
        <f>U287*U285</f>
        <v>1186.3671954440003</v>
      </c>
      <c r="V286" s="69">
        <f>V287*V285</f>
        <v>1143.0983568800002</v>
      </c>
      <c r="W286" s="69">
        <f>W255-W277-W267</f>
        <v>1180.4232649159976</v>
      </c>
      <c r="AB286" s="113" t="e">
        <f>K286/G286-1</f>
        <v>#DIV/0!</v>
      </c>
      <c r="AC286" s="113">
        <f t="shared" si="125"/>
        <v>0.5016347348154031</v>
      </c>
      <c r="AD286" s="113">
        <f t="shared" si="125"/>
        <v>0.42633564896221521</v>
      </c>
      <c r="AE286" s="113">
        <f t="shared" si="125"/>
        <v>0.27552179501104379</v>
      </c>
      <c r="AF286" s="113">
        <f t="shared" si="125"/>
        <v>0.22484512005817603</v>
      </c>
      <c r="AG286" s="113">
        <f t="shared" si="125"/>
        <v>0.21341395000935171</v>
      </c>
      <c r="AH286" s="113">
        <f t="shared" si="125"/>
        <v>0.21805018140584154</v>
      </c>
      <c r="AI286" s="113">
        <f>R286/N286-1</f>
        <v>0.18973004812852134</v>
      </c>
      <c r="AJ286" s="113">
        <f>S286/O286-1</f>
        <v>0.1834156088371286</v>
      </c>
      <c r="AK286" s="113">
        <f>T286/P286-1</f>
        <v>0.15946051585263099</v>
      </c>
      <c r="AL286" s="113">
        <f>U286/Q286-1</f>
        <v>0.16012640987150473</v>
      </c>
      <c r="AM286" s="113">
        <f>V286/R286-1</f>
        <v>0.13630952380952377</v>
      </c>
      <c r="AN286" s="113">
        <f>W286/S286-1</f>
        <v>0.13886103153029339</v>
      </c>
    </row>
    <row r="287" spans="3:40" x14ac:dyDescent="0.55000000000000004">
      <c r="C287" s="66" t="s">
        <v>479</v>
      </c>
      <c r="D287" s="66"/>
      <c r="E287" s="66"/>
      <c r="F287" s="66"/>
      <c r="G287" s="66"/>
      <c r="H287" s="134">
        <f>H286/H285</f>
        <v>0.80127514744970552</v>
      </c>
      <c r="I287" s="134">
        <f t="shared" ref="I287:P287" si="127">I286/I285</f>
        <v>0.80390693342056074</v>
      </c>
      <c r="J287" s="134">
        <f t="shared" si="127"/>
        <v>0.81122367500830606</v>
      </c>
      <c r="K287" s="134">
        <f t="shared" si="127"/>
        <v>0.80205890237487121</v>
      </c>
      <c r="L287" s="134">
        <f t="shared" si="127"/>
        <v>0.80480908923081806</v>
      </c>
      <c r="M287" s="134">
        <f t="shared" si="127"/>
        <v>0.8019853951565874</v>
      </c>
      <c r="N287" s="134">
        <f t="shared" si="127"/>
        <v>0.81900932193211251</v>
      </c>
      <c r="O287" s="134">
        <f t="shared" si="127"/>
        <v>0.82600318574957077</v>
      </c>
      <c r="P287" s="134">
        <f t="shared" si="127"/>
        <v>0.83754469145150945</v>
      </c>
      <c r="Q287" s="134">
        <f>Q286/Q285</f>
        <v>0.82990956141291483</v>
      </c>
      <c r="R287" s="139">
        <v>0.84</v>
      </c>
      <c r="S287" s="134">
        <f>S286/S285</f>
        <v>0.83285236809331742</v>
      </c>
      <c r="T287" s="139">
        <v>0.83</v>
      </c>
      <c r="U287" s="139">
        <v>0.83</v>
      </c>
      <c r="V287" s="139">
        <v>0.83</v>
      </c>
      <c r="W287" s="134">
        <f>W286/W285</f>
        <v>0.85000030491388678</v>
      </c>
    </row>
    <row r="288" spans="3:40" x14ac:dyDescent="0.55000000000000004">
      <c r="C288" s="66"/>
      <c r="D288" s="66"/>
      <c r="E288" s="66"/>
      <c r="F288" s="66"/>
      <c r="G288" s="66"/>
      <c r="H288" s="66"/>
      <c r="I288" s="66"/>
      <c r="J288" s="66"/>
      <c r="K288" s="66"/>
      <c r="L288" s="66"/>
      <c r="M288" s="66"/>
      <c r="N288" s="66"/>
      <c r="O288" s="66"/>
      <c r="P288" s="66"/>
    </row>
    <row r="289" spans="3:34" x14ac:dyDescent="0.55000000000000004">
      <c r="C289" s="68" t="s">
        <v>491</v>
      </c>
      <c r="D289" s="68"/>
      <c r="E289" s="87"/>
      <c r="F289" s="92" t="str">
        <f t="shared" ref="F289:Q289" si="128">F240</f>
        <v>Q3 21</v>
      </c>
      <c r="G289" s="92" t="str">
        <f t="shared" si="128"/>
        <v>Q4 21</v>
      </c>
      <c r="H289" s="92" t="str">
        <f t="shared" si="128"/>
        <v>Q1 22</v>
      </c>
      <c r="I289" s="92" t="str">
        <f t="shared" si="128"/>
        <v>Q2 22</v>
      </c>
      <c r="J289" s="92" t="str">
        <f t="shared" si="128"/>
        <v>Q3 22</v>
      </c>
      <c r="K289" s="92" t="str">
        <f t="shared" si="128"/>
        <v>Q4 22</v>
      </c>
      <c r="L289" s="92" t="str">
        <f t="shared" si="128"/>
        <v>Q1 23</v>
      </c>
      <c r="M289" s="92" t="str">
        <f t="shared" si="128"/>
        <v>Q2 23</v>
      </c>
      <c r="N289" s="92" t="str">
        <f t="shared" si="128"/>
        <v>Q3 23</v>
      </c>
      <c r="O289" s="92" t="str">
        <f t="shared" si="128"/>
        <v>Q4 23</v>
      </c>
      <c r="P289" s="92" t="str">
        <f t="shared" si="128"/>
        <v>Q1 24</v>
      </c>
      <c r="Q289" s="92" t="str">
        <f t="shared" si="128"/>
        <v>Q2 24</v>
      </c>
    </row>
    <row r="290" spans="3:34" x14ac:dyDescent="0.55000000000000004">
      <c r="C290" s="67"/>
      <c r="D290" s="67"/>
      <c r="E290" s="66"/>
      <c r="F290" s="66"/>
      <c r="G290" s="66"/>
      <c r="H290" s="66"/>
      <c r="I290" s="66"/>
      <c r="J290" s="66"/>
      <c r="K290" s="66"/>
      <c r="L290" s="66"/>
      <c r="M290" s="66"/>
      <c r="N290" s="66"/>
      <c r="O290" s="66"/>
      <c r="P290" s="66"/>
      <c r="Q290" s="114"/>
    </row>
    <row r="291" spans="3:34" x14ac:dyDescent="0.55000000000000004">
      <c r="C291" s="67" t="s">
        <v>470</v>
      </c>
      <c r="D291" s="66"/>
      <c r="E291" s="66"/>
      <c r="F291" s="66"/>
      <c r="G291" s="66"/>
      <c r="H291" s="66"/>
      <c r="I291" s="66"/>
      <c r="J291" s="66"/>
      <c r="K291" s="66"/>
      <c r="L291" s="66"/>
      <c r="M291" s="66"/>
      <c r="N291" s="66"/>
      <c r="O291" s="66"/>
      <c r="P291" s="66"/>
    </row>
    <row r="292" spans="3:34" x14ac:dyDescent="0.55000000000000004">
      <c r="C292" s="66" t="s">
        <v>753</v>
      </c>
      <c r="D292" s="66"/>
      <c r="E292" s="66"/>
      <c r="F292" s="66"/>
      <c r="G292" s="66"/>
      <c r="H292" s="140">
        <f>9818/21897*H263</f>
        <v>58.18253422843317</v>
      </c>
      <c r="I292" s="140">
        <f>I297*I$295</f>
        <v>96.439281494040273</v>
      </c>
      <c r="J292" s="140">
        <f t="shared" ref="J292:P292" si="129">J297*J$295</f>
        <v>100.42605293099511</v>
      </c>
      <c r="K292" s="140">
        <f t="shared" si="129"/>
        <v>130.03409079462935</v>
      </c>
      <c r="L292" s="140">
        <f t="shared" si="129"/>
        <v>113.73093314700662</v>
      </c>
      <c r="M292" s="140">
        <f t="shared" si="129"/>
        <v>123.22111545759689</v>
      </c>
      <c r="N292" s="140">
        <f t="shared" si="129"/>
        <v>138.86765384299198</v>
      </c>
      <c r="O292" s="140">
        <f t="shared" si="129"/>
        <v>182.612734621181</v>
      </c>
      <c r="P292" s="140">
        <f t="shared" si="129"/>
        <v>158.94236643375831</v>
      </c>
      <c r="Q292" s="140">
        <f>Q297*Q$295</f>
        <v>166.19027590369222</v>
      </c>
    </row>
    <row r="293" spans="3:34" x14ac:dyDescent="0.55000000000000004">
      <c r="C293" s="66" t="s">
        <v>759</v>
      </c>
      <c r="D293" s="66"/>
      <c r="E293" s="66"/>
      <c r="F293" s="66"/>
      <c r="G293" s="66"/>
      <c r="H293" s="140">
        <f>1821/21987*H263</f>
        <v>10.747270841861109</v>
      </c>
      <c r="I293" s="140">
        <f>I298*I$295</f>
        <v>17.237259516987312</v>
      </c>
      <c r="J293" s="140">
        <f t="shared" ref="J293:P293" si="130">J298*J$295</f>
        <v>17.387001091554097</v>
      </c>
      <c r="K293" s="140">
        <f t="shared" si="130"/>
        <v>21.828644289807603</v>
      </c>
      <c r="L293" s="140">
        <f t="shared" si="130"/>
        <v>18.528532132623852</v>
      </c>
      <c r="M293" s="140">
        <f t="shared" si="130"/>
        <v>19.499284895620129</v>
      </c>
      <c r="N293" s="140">
        <f t="shared" si="130"/>
        <v>21.363020875972133</v>
      </c>
      <c r="O293" s="140">
        <f t="shared" si="130"/>
        <v>27.331150225133033</v>
      </c>
      <c r="P293" s="140">
        <f t="shared" si="130"/>
        <v>23.160665165779815</v>
      </c>
      <c r="Q293" s="140">
        <f>Q298*Q$295</f>
        <v>23.594134723700357</v>
      </c>
    </row>
    <row r="294" spans="3:34" x14ac:dyDescent="0.55000000000000004">
      <c r="C294" s="87" t="s">
        <v>757</v>
      </c>
      <c r="D294" s="87"/>
      <c r="E294" s="87"/>
      <c r="F294" s="87"/>
      <c r="G294" s="87"/>
      <c r="H294" s="235">
        <f>H295-H292-H293</f>
        <v>60.834194929705845</v>
      </c>
      <c r="I294" s="235">
        <f>I299*I$295</f>
        <v>94.448458988972419</v>
      </c>
      <c r="J294" s="235">
        <f t="shared" ref="J294:P294" si="131">J299*J$295</f>
        <v>92.119945977450783</v>
      </c>
      <c r="K294" s="235">
        <f t="shared" si="131"/>
        <v>111.69926491556294</v>
      </c>
      <c r="L294" s="235">
        <f t="shared" si="131"/>
        <v>91.456534720369874</v>
      </c>
      <c r="M294" s="235">
        <f t="shared" si="131"/>
        <v>92.716599646782882</v>
      </c>
      <c r="N294" s="235">
        <f t="shared" si="131"/>
        <v>97.709325281035476</v>
      </c>
      <c r="O294" s="235">
        <f t="shared" si="131"/>
        <v>120.05611515368597</v>
      </c>
      <c r="P294" s="235">
        <f t="shared" si="131"/>
        <v>97.541968400462309</v>
      </c>
      <c r="Q294" s="235">
        <f>Q299*Q$295</f>
        <v>95.094359372607272</v>
      </c>
    </row>
    <row r="295" spans="3:34" x14ac:dyDescent="0.55000000000000004">
      <c r="C295" s="66" t="s">
        <v>277</v>
      </c>
      <c r="D295" s="66"/>
      <c r="E295" s="66"/>
      <c r="F295" s="66"/>
      <c r="G295" s="66"/>
      <c r="H295" s="140">
        <f>H263</f>
        <v>129.76400000000012</v>
      </c>
      <c r="I295" s="140">
        <f>I263</f>
        <v>208.125</v>
      </c>
      <c r="J295" s="140">
        <f t="shared" ref="J295:P295" si="132">J263</f>
        <v>209.93299999999999</v>
      </c>
      <c r="K295" s="140">
        <f t="shared" si="132"/>
        <v>263.5619999999999</v>
      </c>
      <c r="L295" s="140">
        <f t="shared" si="132"/>
        <v>223.71600000000035</v>
      </c>
      <c r="M295" s="140">
        <f t="shared" si="132"/>
        <v>235.4369999999999</v>
      </c>
      <c r="N295" s="140">
        <f t="shared" si="132"/>
        <v>257.9399999999996</v>
      </c>
      <c r="O295" s="140">
        <f t="shared" si="132"/>
        <v>330</v>
      </c>
      <c r="P295" s="140">
        <f t="shared" si="132"/>
        <v>279.64500000000044</v>
      </c>
      <c r="Q295" s="140">
        <f>Q263</f>
        <v>284.87876999999986</v>
      </c>
    </row>
    <row r="296" spans="3:34" x14ac:dyDescent="0.55000000000000004">
      <c r="C296" s="66"/>
      <c r="D296" s="66"/>
      <c r="E296" s="66"/>
      <c r="F296" s="66"/>
      <c r="G296" s="66"/>
      <c r="H296" s="66"/>
      <c r="I296" s="66"/>
      <c r="J296" s="66"/>
      <c r="K296" s="66"/>
      <c r="L296" s="66"/>
      <c r="M296" s="66"/>
      <c r="N296" s="66"/>
      <c r="O296" s="66"/>
      <c r="P296" s="66"/>
      <c r="Q296" s="66"/>
    </row>
    <row r="297" spans="3:34" x14ac:dyDescent="0.55000000000000004">
      <c r="C297" s="66" t="str">
        <f>C292</f>
        <v>US</v>
      </c>
      <c r="D297" s="66"/>
      <c r="E297" s="66"/>
      <c r="F297" s="66"/>
      <c r="G297" s="66"/>
      <c r="H297" s="134">
        <f>H292/H$295</f>
        <v>0.44837192309448781</v>
      </c>
      <c r="I297" s="134">
        <f>H297+1.5%</f>
        <v>0.46337192309448783</v>
      </c>
      <c r="J297" s="134">
        <f t="shared" ref="J297:Q297" si="133">I297+1.5%</f>
        <v>0.47837192309448784</v>
      </c>
      <c r="K297" s="134">
        <f t="shared" si="133"/>
        <v>0.49337192309448785</v>
      </c>
      <c r="L297" s="134">
        <f t="shared" si="133"/>
        <v>0.50837192309448787</v>
      </c>
      <c r="M297" s="134">
        <f t="shared" si="133"/>
        <v>0.52337192309448788</v>
      </c>
      <c r="N297" s="134">
        <f t="shared" si="133"/>
        <v>0.53837192309448789</v>
      </c>
      <c r="O297" s="134">
        <f t="shared" si="133"/>
        <v>0.55337192309448791</v>
      </c>
      <c r="P297" s="134">
        <f t="shared" si="133"/>
        <v>0.56837192309448792</v>
      </c>
      <c r="Q297" s="134">
        <f t="shared" si="133"/>
        <v>0.58337192309448793</v>
      </c>
    </row>
    <row r="298" spans="3:34" x14ac:dyDescent="0.55000000000000004">
      <c r="C298" s="66" t="str">
        <f>C293</f>
        <v>UK / Clearpay</v>
      </c>
      <c r="D298" s="66"/>
      <c r="E298" s="66"/>
      <c r="F298" s="66"/>
      <c r="G298" s="66"/>
      <c r="H298" s="134">
        <f>H293/H$295</f>
        <v>8.2821667348887976E-2</v>
      </c>
      <c r="I298" s="134">
        <f t="shared" ref="I298:Q298" si="134">H298</f>
        <v>8.2821667348887976E-2</v>
      </c>
      <c r="J298" s="134">
        <f t="shared" si="134"/>
        <v>8.2821667348887976E-2</v>
      </c>
      <c r="K298" s="134">
        <f t="shared" si="134"/>
        <v>8.2821667348887976E-2</v>
      </c>
      <c r="L298" s="134">
        <f t="shared" si="134"/>
        <v>8.2821667348887976E-2</v>
      </c>
      <c r="M298" s="134">
        <f t="shared" si="134"/>
        <v>8.2821667348887976E-2</v>
      </c>
      <c r="N298" s="134">
        <f t="shared" si="134"/>
        <v>8.2821667348887976E-2</v>
      </c>
      <c r="O298" s="134">
        <f t="shared" si="134"/>
        <v>8.2821667348887976E-2</v>
      </c>
      <c r="P298" s="134">
        <f t="shared" si="134"/>
        <v>8.2821667348887976E-2</v>
      </c>
      <c r="Q298" s="134">
        <f t="shared" si="134"/>
        <v>8.2821667348887976E-2</v>
      </c>
    </row>
    <row r="299" spans="3:34" x14ac:dyDescent="0.55000000000000004">
      <c r="C299" s="87" t="str">
        <f>C294</f>
        <v>Australia</v>
      </c>
      <c r="D299" s="87"/>
      <c r="E299" s="87"/>
      <c r="F299" s="87"/>
      <c r="G299" s="87"/>
      <c r="H299" s="210">
        <f>H294/H$295</f>
        <v>0.46880640955662423</v>
      </c>
      <c r="I299" s="210">
        <f>I300-I297-I298</f>
        <v>0.45380640955662421</v>
      </c>
      <c r="J299" s="210">
        <f t="shared" ref="J299:P299" si="135">J300-J297-J298</f>
        <v>0.4388064095566242</v>
      </c>
      <c r="K299" s="210">
        <f t="shared" si="135"/>
        <v>0.42380640955662419</v>
      </c>
      <c r="L299" s="210">
        <f t="shared" si="135"/>
        <v>0.40880640955662417</v>
      </c>
      <c r="M299" s="210">
        <f t="shared" si="135"/>
        <v>0.39380640955662416</v>
      </c>
      <c r="N299" s="210">
        <f t="shared" si="135"/>
        <v>0.37880640955662415</v>
      </c>
      <c r="O299" s="210">
        <f t="shared" si="135"/>
        <v>0.36380640955662413</v>
      </c>
      <c r="P299" s="210">
        <f t="shared" si="135"/>
        <v>0.34880640955662412</v>
      </c>
      <c r="Q299" s="210">
        <f>Q300-Q297-Q298</f>
        <v>0.33380640955662411</v>
      </c>
    </row>
    <row r="300" spans="3:34" x14ac:dyDescent="0.55000000000000004">
      <c r="C300" s="66" t="str">
        <f>C295</f>
        <v>Total</v>
      </c>
      <c r="D300" s="66"/>
      <c r="E300" s="66"/>
      <c r="F300" s="66"/>
      <c r="G300" s="66"/>
      <c r="H300" s="134">
        <f>H295/H$295</f>
        <v>1</v>
      </c>
      <c r="I300" s="134">
        <f t="shared" ref="I300:Q300" si="136">H300</f>
        <v>1</v>
      </c>
      <c r="J300" s="134">
        <f t="shared" si="136"/>
        <v>1</v>
      </c>
      <c r="K300" s="134">
        <f t="shared" si="136"/>
        <v>1</v>
      </c>
      <c r="L300" s="134">
        <f t="shared" si="136"/>
        <v>1</v>
      </c>
      <c r="M300" s="134">
        <f t="shared" si="136"/>
        <v>1</v>
      </c>
      <c r="N300" s="134">
        <f t="shared" si="136"/>
        <v>1</v>
      </c>
      <c r="O300" s="134">
        <f t="shared" si="136"/>
        <v>1</v>
      </c>
      <c r="P300" s="134">
        <f t="shared" si="136"/>
        <v>1</v>
      </c>
      <c r="Q300" s="134">
        <f t="shared" si="136"/>
        <v>1</v>
      </c>
    </row>
    <row r="301" spans="3:34" x14ac:dyDescent="0.55000000000000004">
      <c r="C301" s="66"/>
      <c r="D301" s="66"/>
      <c r="E301" s="66"/>
      <c r="F301" s="66"/>
      <c r="G301" s="66"/>
      <c r="H301" s="66"/>
      <c r="I301" s="66"/>
      <c r="J301" s="66"/>
      <c r="K301" s="66"/>
      <c r="L301" s="66"/>
      <c r="M301" s="66"/>
      <c r="N301" s="66"/>
      <c r="O301" s="66"/>
      <c r="P301" s="66"/>
      <c r="Q301" s="66"/>
    </row>
    <row r="302" spans="3:34" x14ac:dyDescent="0.55000000000000004">
      <c r="C302" s="67" t="s">
        <v>762</v>
      </c>
      <c r="D302" s="66"/>
      <c r="E302" s="66"/>
      <c r="F302" s="66"/>
      <c r="G302" s="66"/>
      <c r="H302" s="66"/>
      <c r="I302" s="66"/>
      <c r="J302" s="66"/>
      <c r="K302" s="66"/>
      <c r="L302" s="66"/>
      <c r="M302" s="66"/>
      <c r="N302" s="66"/>
      <c r="O302" s="66"/>
      <c r="P302" s="66"/>
      <c r="Q302" s="66"/>
    </row>
    <row r="303" spans="3:34" x14ac:dyDescent="0.55000000000000004">
      <c r="C303" s="66" t="s">
        <v>172</v>
      </c>
      <c r="D303" s="66"/>
      <c r="E303" s="66"/>
      <c r="F303" s="66"/>
      <c r="G303" s="66"/>
      <c r="H303" s="140">
        <f t="shared" ref="H303:P303" si="137">H293+H294</f>
        <v>71.581465771566954</v>
      </c>
      <c r="I303" s="140">
        <f t="shared" si="137"/>
        <v>111.68571850595973</v>
      </c>
      <c r="J303" s="140">
        <f t="shared" si="137"/>
        <v>109.50694706900488</v>
      </c>
      <c r="K303" s="140">
        <f t="shared" si="137"/>
        <v>133.52790920537055</v>
      </c>
      <c r="L303" s="140">
        <f t="shared" si="137"/>
        <v>109.98506685299373</v>
      </c>
      <c r="M303" s="140">
        <f t="shared" si="137"/>
        <v>112.21588454240302</v>
      </c>
      <c r="N303" s="140">
        <f t="shared" si="137"/>
        <v>119.07234615700762</v>
      </c>
      <c r="O303" s="140">
        <f t="shared" si="137"/>
        <v>147.387265378819</v>
      </c>
      <c r="P303" s="140">
        <f t="shared" si="137"/>
        <v>120.70263356624213</v>
      </c>
      <c r="Q303" s="140">
        <f>Q293+Q294</f>
        <v>118.68849409630764</v>
      </c>
      <c r="AC303" s="113">
        <f t="shared" ref="AC303:AH306" si="138">L303/H303-1</f>
        <v>0.53650202140288039</v>
      </c>
      <c r="AD303" s="113">
        <f t="shared" si="138"/>
        <v>4.7469456572910573E-3</v>
      </c>
      <c r="AE303" s="113">
        <f t="shared" si="138"/>
        <v>8.7349701037461758E-2</v>
      </c>
      <c r="AF303" s="113">
        <f t="shared" si="138"/>
        <v>0.10379370317356118</v>
      </c>
      <c r="AG303" s="113">
        <f t="shared" si="138"/>
        <v>9.7445653486518458E-2</v>
      </c>
      <c r="AH303" s="113">
        <f t="shared" si="138"/>
        <v>5.7679976237756447E-2</v>
      </c>
    </row>
    <row r="304" spans="3:34" x14ac:dyDescent="0.55000000000000004">
      <c r="C304" s="66" t="s">
        <v>162</v>
      </c>
      <c r="D304" s="66"/>
      <c r="E304" s="66"/>
      <c r="F304" s="66"/>
      <c r="G304" s="66"/>
      <c r="H304" s="140">
        <f t="shared" ref="H304:Q304" si="139">H18/H14</f>
        <v>130.01822688249749</v>
      </c>
      <c r="I304" s="140">
        <f t="shared" si="139"/>
        <v>159.61738648134408</v>
      </c>
      <c r="J304" s="140">
        <f t="shared" si="139"/>
        <v>165.04503582105994</v>
      </c>
      <c r="K304" s="140">
        <f t="shared" si="139"/>
        <v>191.74535452131482</v>
      </c>
      <c r="L304" s="140">
        <f t="shared" si="139"/>
        <v>168.6809984947098</v>
      </c>
      <c r="M304" s="140">
        <f t="shared" si="139"/>
        <v>202.79531437142506</v>
      </c>
      <c r="N304" s="140">
        <f t="shared" si="139"/>
        <v>218.63043754947461</v>
      </c>
      <c r="O304" s="140">
        <f t="shared" si="139"/>
        <v>232.16711992142243</v>
      </c>
      <c r="P304" s="140">
        <f t="shared" si="139"/>
        <v>217.23746635262449</v>
      </c>
      <c r="Q304" s="140">
        <f t="shared" si="139"/>
        <v>259.61678286204835</v>
      </c>
      <c r="AC304" s="113">
        <f t="shared" si="138"/>
        <v>0.29736424299304853</v>
      </c>
      <c r="AD304" s="113">
        <f t="shared" si="138"/>
        <v>0.27050892663956483</v>
      </c>
      <c r="AE304" s="113">
        <f t="shared" si="138"/>
        <v>0.32467139324633409</v>
      </c>
      <c r="AF304" s="113">
        <f t="shared" si="138"/>
        <v>0.21080962040003026</v>
      </c>
      <c r="AG304" s="113">
        <f t="shared" si="138"/>
        <v>0.28785973696638711</v>
      </c>
      <c r="AH304" s="113">
        <f t="shared" si="138"/>
        <v>0.28019122959889131</v>
      </c>
    </row>
    <row r="305" spans="3:34" x14ac:dyDescent="0.55000000000000004">
      <c r="C305" s="87" t="s">
        <v>760</v>
      </c>
      <c r="D305" s="87"/>
      <c r="E305" s="87"/>
      <c r="F305" s="87"/>
      <c r="G305" s="87"/>
      <c r="H305" s="235">
        <f t="shared" ref="H305:P305" si="140">H306-H303-H304</f>
        <v>93.862307345935477</v>
      </c>
      <c r="I305" s="235">
        <f t="shared" si="140"/>
        <v>-14.306104987303797</v>
      </c>
      <c r="J305" s="235">
        <f t="shared" si="140"/>
        <v>45.698017109935194</v>
      </c>
      <c r="K305" s="235">
        <f t="shared" si="140"/>
        <v>18.835736273314552</v>
      </c>
      <c r="L305" s="235">
        <f t="shared" si="140"/>
        <v>46.829934652296458</v>
      </c>
      <c r="M305" s="235">
        <f t="shared" si="140"/>
        <v>48.387801086171919</v>
      </c>
      <c r="N305" s="235">
        <f t="shared" si="140"/>
        <v>51.803216293517778</v>
      </c>
      <c r="O305" s="235">
        <f t="shared" si="140"/>
        <v>41.20561469975857</v>
      </c>
      <c r="P305" s="235">
        <f t="shared" si="140"/>
        <v>52.890900081133395</v>
      </c>
      <c r="Q305" s="235">
        <f>Q306-Q303-Q304</f>
        <v>12.525723041644028</v>
      </c>
      <c r="AC305" s="118">
        <f t="shared" si="138"/>
        <v>-0.50107837771660813</v>
      </c>
      <c r="AD305" s="118">
        <f t="shared" si="138"/>
        <v>-4.3823183269740102</v>
      </c>
      <c r="AE305" s="118">
        <f t="shared" si="138"/>
        <v>0.13359877670174125</v>
      </c>
      <c r="AF305" s="118">
        <f t="shared" si="138"/>
        <v>1.1876296260389059</v>
      </c>
      <c r="AG305" s="118">
        <f t="shared" si="138"/>
        <v>0.12942502426788494</v>
      </c>
      <c r="AH305" s="118">
        <f t="shared" si="138"/>
        <v>-0.74113882506589901</v>
      </c>
    </row>
    <row r="306" spans="3:34" x14ac:dyDescent="0.55000000000000004">
      <c r="C306" s="67" t="s">
        <v>758</v>
      </c>
      <c r="D306" s="67"/>
      <c r="E306" s="67"/>
      <c r="F306" s="67"/>
      <c r="G306" s="67"/>
      <c r="H306" s="236">
        <f>552.459-I306</f>
        <v>295.46199999999993</v>
      </c>
      <c r="I306" s="236">
        <v>256.99700000000001</v>
      </c>
      <c r="J306" s="236">
        <f>320.25</f>
        <v>320.25</v>
      </c>
      <c r="K306" s="236">
        <f>1216.818-H306-I306-J306</f>
        <v>344.10899999999992</v>
      </c>
      <c r="L306" s="236">
        <v>325.49599999999998</v>
      </c>
      <c r="M306" s="236">
        <v>363.399</v>
      </c>
      <c r="N306" s="236">
        <f>389.506</f>
        <v>389.50599999999997</v>
      </c>
      <c r="O306" s="236">
        <f>1499.161-L306-M306-N306</f>
        <v>420.76</v>
      </c>
      <c r="P306" s="236">
        <v>390.83100000000002</v>
      </c>
      <c r="Q306" s="236">
        <v>390.83100000000002</v>
      </c>
      <c r="AC306" s="109">
        <f t="shared" si="138"/>
        <v>0.10165097372927834</v>
      </c>
      <c r="AD306" s="109">
        <f t="shared" si="138"/>
        <v>0.41402039712525829</v>
      </c>
      <c r="AE306" s="109">
        <f t="shared" si="138"/>
        <v>0.21625604996096781</v>
      </c>
      <c r="AF306" s="109">
        <f t="shared" si="138"/>
        <v>0.2227520930867839</v>
      </c>
      <c r="AG306" s="109">
        <f t="shared" si="138"/>
        <v>0.20072443286553465</v>
      </c>
      <c r="AH306" s="109">
        <f t="shared" si="138"/>
        <v>7.5487274318311259E-2</v>
      </c>
    </row>
    <row r="307" spans="3:34" x14ac:dyDescent="0.55000000000000004">
      <c r="C307" s="67" t="s">
        <v>586</v>
      </c>
      <c r="D307" s="67"/>
      <c r="E307" s="67"/>
      <c r="F307" s="67"/>
      <c r="G307" s="67"/>
      <c r="H307" s="180">
        <f t="shared" ref="H307:Q307" si="141">H306/H50</f>
        <v>7.4599465491100553E-2</v>
      </c>
      <c r="I307" s="180">
        <f t="shared" si="141"/>
        <v>5.8348747496593828E-2</v>
      </c>
      <c r="J307" s="180">
        <f t="shared" si="141"/>
        <v>7.0921734516417853E-2</v>
      </c>
      <c r="K307" s="180">
        <f t="shared" si="141"/>
        <v>7.3987583483805922E-2</v>
      </c>
      <c r="L307" s="180">
        <f t="shared" si="141"/>
        <v>6.5227946921633917E-2</v>
      </c>
      <c r="M307" s="180">
        <f t="shared" si="141"/>
        <v>6.5655252606298467E-2</v>
      </c>
      <c r="N307" s="180">
        <f t="shared" si="141"/>
        <v>6.9338048129298946E-2</v>
      </c>
      <c r="O307" s="180">
        <f t="shared" si="141"/>
        <v>7.2883585464994016E-2</v>
      </c>
      <c r="P307" s="180">
        <f t="shared" si="141"/>
        <v>6.560728592704404E-2</v>
      </c>
      <c r="Q307" s="180">
        <f t="shared" si="141"/>
        <v>6.349232393527611E-2</v>
      </c>
    </row>
    <row r="308" spans="3:34" x14ac:dyDescent="0.55000000000000004">
      <c r="C308" s="67" t="s">
        <v>764</v>
      </c>
      <c r="D308" s="67"/>
      <c r="E308" s="67"/>
      <c r="F308" s="67"/>
      <c r="G308" s="67"/>
      <c r="H308" s="136"/>
      <c r="I308" s="136"/>
      <c r="J308" s="136"/>
      <c r="K308" s="180"/>
      <c r="L308" s="180">
        <f t="shared" ref="L308:Q308" si="142">(L306-H306)/(L50-H50)</f>
        <v>2.9173781867844768E-2</v>
      </c>
      <c r="M308" s="180">
        <f t="shared" si="142"/>
        <v>9.4122913014017276E-2</v>
      </c>
      <c r="N308" s="180">
        <f t="shared" si="142"/>
        <v>6.284847252874895E-2</v>
      </c>
      <c r="O308" s="180">
        <f t="shared" si="142"/>
        <v>6.8307876022599717E-2</v>
      </c>
      <c r="P308" s="180">
        <f t="shared" si="142"/>
        <v>6.7564842496926125E-2</v>
      </c>
      <c r="Q308" s="180">
        <f t="shared" si="142"/>
        <v>4.4201957441597446E-2</v>
      </c>
    </row>
    <row r="309" spans="3:34" x14ac:dyDescent="0.55000000000000004">
      <c r="C309" s="66" t="s">
        <v>422</v>
      </c>
      <c r="D309" s="67"/>
      <c r="E309" s="67"/>
      <c r="F309" s="67"/>
      <c r="G309" s="67"/>
      <c r="H309" s="140">
        <f t="shared" ref="H309:P309" si="143">H306-H303</f>
        <v>223.88053422843296</v>
      </c>
      <c r="I309" s="140">
        <f t="shared" si="143"/>
        <v>145.31128149404029</v>
      </c>
      <c r="J309" s="140">
        <f t="shared" si="143"/>
        <v>210.74305293099513</v>
      </c>
      <c r="K309" s="140">
        <f t="shared" si="143"/>
        <v>210.58109079462938</v>
      </c>
      <c r="L309" s="140">
        <f t="shared" si="143"/>
        <v>215.51093314700626</v>
      </c>
      <c r="M309" s="140">
        <f t="shared" si="143"/>
        <v>251.18311545759698</v>
      </c>
      <c r="N309" s="140">
        <f t="shared" si="143"/>
        <v>270.43365384299238</v>
      </c>
      <c r="O309" s="140">
        <f t="shared" si="143"/>
        <v>273.372734621181</v>
      </c>
      <c r="P309" s="140">
        <f t="shared" si="143"/>
        <v>270.12836643375789</v>
      </c>
      <c r="Q309" s="140">
        <f>Q306-Q303</f>
        <v>272.14250590369238</v>
      </c>
      <c r="AC309" s="109"/>
      <c r="AD309" s="109"/>
      <c r="AE309" s="109"/>
      <c r="AF309" s="109"/>
      <c r="AG309" s="109"/>
      <c r="AH309" s="109"/>
    </row>
    <row r="310" spans="3:34" x14ac:dyDescent="0.55000000000000004">
      <c r="P310" s="171">
        <f>P305/P$50</f>
        <v>8.8785905021905517E-3</v>
      </c>
      <c r="Q310" s="171">
        <f>Q305/Q$50</f>
        <v>2.0348622931231517E-3</v>
      </c>
    </row>
    <row r="311" spans="3:34" x14ac:dyDescent="0.55000000000000004">
      <c r="C311" s="67" t="s">
        <v>765</v>
      </c>
      <c r="D311" s="108"/>
      <c r="E311" s="108"/>
      <c r="F311" s="108"/>
      <c r="G311" s="108"/>
      <c r="H311" s="86">
        <f t="shared" ref="H311:Q311" si="144">H50-H306</f>
        <v>3665.183</v>
      </c>
      <c r="I311" s="86">
        <f t="shared" si="144"/>
        <v>4147.5019999999995</v>
      </c>
      <c r="J311" s="86">
        <f t="shared" si="144"/>
        <v>4195.2910000000002</v>
      </c>
      <c r="K311" s="86">
        <f t="shared" si="144"/>
        <v>4306.7929999999997</v>
      </c>
      <c r="L311" s="86">
        <f t="shared" si="144"/>
        <v>4664.6350000000002</v>
      </c>
      <c r="M311" s="86">
        <f t="shared" si="144"/>
        <v>5171.558</v>
      </c>
      <c r="N311" s="86">
        <f t="shared" si="144"/>
        <v>5227.9870000000001</v>
      </c>
      <c r="O311" s="86">
        <f t="shared" si="144"/>
        <v>5352.2820000000002</v>
      </c>
      <c r="P311" s="86">
        <f t="shared" si="144"/>
        <v>5566.2969999999996</v>
      </c>
      <c r="Q311" s="86">
        <f t="shared" si="144"/>
        <v>5764.732</v>
      </c>
      <c r="AC311" s="109">
        <f t="shared" ref="AC311:AH311" si="145">L311/H311-1</f>
        <v>0.27268815772636734</v>
      </c>
      <c r="AD311" s="109">
        <f t="shared" si="145"/>
        <v>0.24690910335908223</v>
      </c>
      <c r="AE311" s="109">
        <f t="shared" si="145"/>
        <v>0.24615598774912151</v>
      </c>
      <c r="AF311" s="109">
        <f t="shared" si="145"/>
        <v>0.24275348269582508</v>
      </c>
      <c r="AG311" s="109">
        <f t="shared" si="145"/>
        <v>0.19329743913510899</v>
      </c>
      <c r="AH311" s="109">
        <f t="shared" si="145"/>
        <v>0.11469928404554297</v>
      </c>
    </row>
    <row r="312" spans="3:34" x14ac:dyDescent="0.55000000000000004">
      <c r="P312" s="66"/>
      <c r="Q312" s="66"/>
    </row>
    <row r="313" spans="3:34" x14ac:dyDescent="0.55000000000000004">
      <c r="C313" t="str">
        <f>C303</f>
        <v>BNPL</v>
      </c>
      <c r="H313" s="140">
        <f t="shared" ref="H313:P313" si="146">H303*H268</f>
        <v>50.904790564917541</v>
      </c>
      <c r="I313" s="140">
        <f t="shared" si="146"/>
        <v>80.305318452756154</v>
      </c>
      <c r="J313" s="140">
        <f t="shared" si="146"/>
        <v>78.103371955062343</v>
      </c>
      <c r="K313" s="140">
        <f t="shared" si="146"/>
        <v>99.548364087317992</v>
      </c>
      <c r="L313" s="140">
        <f t="shared" si="146"/>
        <v>77.396024891081353</v>
      </c>
      <c r="M313" s="140">
        <f t="shared" si="146"/>
        <v>80.302298397040474</v>
      </c>
      <c r="N313" s="140">
        <f t="shared" si="146"/>
        <v>86.445858565556463</v>
      </c>
      <c r="O313" s="140">
        <f t="shared" si="146"/>
        <v>108.08399461113392</v>
      </c>
      <c r="P313" s="140">
        <f t="shared" si="146"/>
        <v>88.51526461524422</v>
      </c>
      <c r="Q313" s="140">
        <f>Q303*Q268</f>
        <v>87.038229003958932</v>
      </c>
      <c r="AC313" s="113">
        <f t="shared" ref="AC313:AH316" si="147">L313/H313-1</f>
        <v>0.52040749077201753</v>
      </c>
      <c r="AD313" s="113">
        <f t="shared" si="147"/>
        <v>-3.7607169411257857E-5</v>
      </c>
      <c r="AE313" s="113">
        <f t="shared" si="147"/>
        <v>0.10681339872616591</v>
      </c>
      <c r="AF313" s="113">
        <f t="shared" si="147"/>
        <v>8.5743553920474058E-2</v>
      </c>
      <c r="AG313" s="113">
        <f t="shared" si="147"/>
        <v>0.14366680640008145</v>
      </c>
      <c r="AH313" s="113">
        <f t="shared" si="147"/>
        <v>8.3882164537979254E-2</v>
      </c>
    </row>
    <row r="314" spans="3:34" x14ac:dyDescent="0.55000000000000004">
      <c r="C314" t="str">
        <f>C304</f>
        <v>Square</v>
      </c>
      <c r="H314" s="140">
        <f t="shared" ref="H314:Q314" si="148">H18</f>
        <v>58</v>
      </c>
      <c r="I314" s="140">
        <f t="shared" si="148"/>
        <v>67</v>
      </c>
      <c r="J314" s="140">
        <f t="shared" si="148"/>
        <v>70</v>
      </c>
      <c r="K314" s="140">
        <f t="shared" si="148"/>
        <v>83</v>
      </c>
      <c r="L314" s="140">
        <f t="shared" si="148"/>
        <v>75</v>
      </c>
      <c r="M314" s="140">
        <f t="shared" si="148"/>
        <v>90</v>
      </c>
      <c r="N314" s="140">
        <f t="shared" si="148"/>
        <v>95</v>
      </c>
      <c r="O314" s="140">
        <f t="shared" si="148"/>
        <v>106</v>
      </c>
      <c r="P314" s="140">
        <f t="shared" si="148"/>
        <v>103</v>
      </c>
      <c r="Q314" s="140">
        <f t="shared" si="148"/>
        <v>121</v>
      </c>
      <c r="AC314" s="113">
        <f t="shared" si="147"/>
        <v>0.2931034482758621</v>
      </c>
      <c r="AD314" s="113">
        <f t="shared" si="147"/>
        <v>0.34328358208955234</v>
      </c>
      <c r="AE314" s="113">
        <f t="shared" si="147"/>
        <v>0.35714285714285721</v>
      </c>
      <c r="AF314" s="113">
        <f t="shared" si="147"/>
        <v>0.27710843373493965</v>
      </c>
      <c r="AG314" s="113">
        <f t="shared" si="147"/>
        <v>0.37333333333333329</v>
      </c>
      <c r="AH314" s="113">
        <f t="shared" si="147"/>
        <v>0.34444444444444455</v>
      </c>
    </row>
    <row r="315" spans="3:34" x14ac:dyDescent="0.55000000000000004">
      <c r="C315" s="90" t="str">
        <f>C305</f>
        <v>implied Cash App core</v>
      </c>
      <c r="D315" s="90"/>
      <c r="E315" s="90"/>
      <c r="F315" s="90"/>
      <c r="G315" s="90"/>
      <c r="H315" s="235">
        <f t="shared" ref="H315:P315" si="149">H305*H287</f>
        <v>75.20953415858402</v>
      </c>
      <c r="I315" s="235">
        <f t="shared" si="149"/>
        <v>-11.500776989535986</v>
      </c>
      <c r="J315" s="235">
        <f t="shared" si="149"/>
        <v>37.071313380514077</v>
      </c>
      <c r="K315" s="235">
        <f t="shared" si="149"/>
        <v>15.107369960797216</v>
      </c>
      <c r="L315" s="235">
        <f t="shared" si="149"/>
        <v>37.689157056253443</v>
      </c>
      <c r="M315" s="235">
        <f t="shared" si="149"/>
        <v>38.806309774851933</v>
      </c>
      <c r="N315" s="235">
        <f t="shared" si="149"/>
        <v>42.427317050456558</v>
      </c>
      <c r="O315" s="235">
        <f t="shared" si="149"/>
        <v>34.035969012769925</v>
      </c>
      <c r="P315" s="235">
        <f t="shared" si="149"/>
        <v>44.298492589045487</v>
      </c>
      <c r="Q315" s="235">
        <f>Q305*Q287</f>
        <v>10.395217315870436</v>
      </c>
      <c r="AC315" s="118">
        <f t="shared" si="147"/>
        <v>-0.49887793511945588</v>
      </c>
      <c r="AD315" s="118">
        <f t="shared" si="147"/>
        <v>-4.3742337417863126</v>
      </c>
      <c r="AE315" s="118">
        <f t="shared" si="147"/>
        <v>0.14447838993365081</v>
      </c>
      <c r="AF315" s="118">
        <f t="shared" si="147"/>
        <v>1.2529380759914774</v>
      </c>
      <c r="AG315" s="118">
        <f t="shared" si="147"/>
        <v>0.17536437662766491</v>
      </c>
      <c r="AH315" s="118">
        <f t="shared" si="147"/>
        <v>-0.73212559049850801</v>
      </c>
    </row>
    <row r="316" spans="3:34" x14ac:dyDescent="0.55000000000000004">
      <c r="C316" s="108" t="s">
        <v>761</v>
      </c>
      <c r="D316" s="108"/>
      <c r="E316" s="108"/>
      <c r="F316" s="108"/>
      <c r="G316" s="108"/>
      <c r="H316" s="236">
        <f t="shared" ref="H316:P316" si="150">H313+H314+H315</f>
        <v>184.11432472350157</v>
      </c>
      <c r="I316" s="236">
        <f t="shared" si="150"/>
        <v>135.80454146322018</v>
      </c>
      <c r="J316" s="236">
        <f t="shared" si="150"/>
        <v>185.17468533557644</v>
      </c>
      <c r="K316" s="236">
        <f t="shared" si="150"/>
        <v>197.65573404811522</v>
      </c>
      <c r="L316" s="236">
        <f t="shared" si="150"/>
        <v>190.0851819473348</v>
      </c>
      <c r="M316" s="236">
        <f t="shared" si="150"/>
        <v>209.10860817189243</v>
      </c>
      <c r="N316" s="236">
        <f t="shared" si="150"/>
        <v>223.87317561601304</v>
      </c>
      <c r="O316" s="236">
        <f t="shared" si="150"/>
        <v>248.11996362390383</v>
      </c>
      <c r="P316" s="236">
        <f t="shared" si="150"/>
        <v>235.81375720428971</v>
      </c>
      <c r="Q316" s="236">
        <f>Q313+Q314+Q315</f>
        <v>218.43344631982936</v>
      </c>
      <c r="AC316" s="109">
        <f t="shared" si="147"/>
        <v>3.2430161166439042E-2</v>
      </c>
      <c r="AD316" s="109">
        <f t="shared" si="147"/>
        <v>0.53977625430534748</v>
      </c>
      <c r="AE316" s="109">
        <f t="shared" si="147"/>
        <v>0.20898369672024342</v>
      </c>
      <c r="AF316" s="109">
        <f t="shared" si="147"/>
        <v>0.25531376470719613</v>
      </c>
      <c r="AG316" s="109">
        <f t="shared" si="147"/>
        <v>0.24056885859532451</v>
      </c>
      <c r="AH316" s="109">
        <f t="shared" si="147"/>
        <v>4.4593277290008393E-2</v>
      </c>
    </row>
    <row r="317" spans="3:34" x14ac:dyDescent="0.55000000000000004">
      <c r="C317" s="108" t="s">
        <v>763</v>
      </c>
      <c r="D317" s="108"/>
      <c r="E317" s="108"/>
      <c r="F317" s="108"/>
      <c r="G317" s="108"/>
      <c r="H317" s="180">
        <f t="shared" ref="H317:Q317" si="151">H316/H60</f>
        <v>0.14217761531128495</v>
      </c>
      <c r="I317" s="180">
        <f t="shared" si="151"/>
        <v>9.2406169003203614E-2</v>
      </c>
      <c r="J317" s="180">
        <f t="shared" si="151"/>
        <v>0.11816475346044573</v>
      </c>
      <c r="K317" s="180">
        <f t="shared" si="151"/>
        <v>0.119055733843383</v>
      </c>
      <c r="L317" s="180">
        <f t="shared" si="151"/>
        <v>0.11086373251315468</v>
      </c>
      <c r="M317" s="180">
        <f t="shared" si="151"/>
        <v>0.11205642576253505</v>
      </c>
      <c r="N317" s="180">
        <f t="shared" si="151"/>
        <v>0.11792425059404442</v>
      </c>
      <c r="O317" s="180">
        <f t="shared" si="151"/>
        <v>0.12248289209335785</v>
      </c>
      <c r="P317" s="180">
        <f t="shared" si="151"/>
        <v>0.112588587775679</v>
      </c>
      <c r="Q317" s="180">
        <f t="shared" si="151"/>
        <v>9.7799598080049677E-2</v>
      </c>
    </row>
    <row r="318" spans="3:34" x14ac:dyDescent="0.55000000000000004">
      <c r="C318" s="66" t="s">
        <v>422</v>
      </c>
      <c r="D318" s="67"/>
      <c r="E318" s="67"/>
      <c r="F318" s="67"/>
      <c r="G318" s="67"/>
      <c r="H318" s="140">
        <f>H316-H313</f>
        <v>133.20953415858403</v>
      </c>
      <c r="I318" s="140">
        <f t="shared" ref="I318:P318" si="152">I316-I313</f>
        <v>55.499223010464021</v>
      </c>
      <c r="J318" s="140">
        <f t="shared" si="152"/>
        <v>107.0713133805141</v>
      </c>
      <c r="K318" s="140">
        <f t="shared" si="152"/>
        <v>98.107369960797229</v>
      </c>
      <c r="L318" s="140">
        <f t="shared" si="152"/>
        <v>112.68915705625345</v>
      </c>
      <c r="M318" s="140">
        <f t="shared" si="152"/>
        <v>128.80630977485197</v>
      </c>
      <c r="N318" s="140">
        <f t="shared" si="152"/>
        <v>137.42731705045657</v>
      </c>
      <c r="O318" s="140">
        <f t="shared" si="152"/>
        <v>140.0359690127699</v>
      </c>
      <c r="P318" s="140">
        <f t="shared" si="152"/>
        <v>147.29849258904551</v>
      </c>
      <c r="Q318" s="140">
        <f>Q316-Q313</f>
        <v>131.39521731587041</v>
      </c>
    </row>
  </sheetData>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38DBF3-D67F-4F92-BB42-A7A94B3A6093}">
  <dimension ref="B1:O185"/>
  <sheetViews>
    <sheetView showGridLines="0" zoomScale="60" workbookViewId="0">
      <selection activeCell="B2" sqref="B2:I24"/>
    </sheetView>
  </sheetViews>
  <sheetFormatPr defaultRowHeight="14.4" x14ac:dyDescent="0.55000000000000004"/>
  <cols>
    <col min="2" max="2" width="24.47265625" bestFit="1" customWidth="1"/>
    <col min="3" max="3" width="11.578125" bestFit="1" customWidth="1"/>
    <col min="4" max="4" width="20.05078125" customWidth="1"/>
    <col min="5" max="8" width="8.41796875" customWidth="1"/>
    <col min="9" max="9" width="16.578125" bestFit="1" customWidth="1"/>
    <col min="10" max="10" width="8.41796875" customWidth="1"/>
  </cols>
  <sheetData>
    <row r="1" spans="2:15" x14ac:dyDescent="0.55000000000000004">
      <c r="B1" s="66"/>
      <c r="C1" s="66"/>
      <c r="D1" s="66"/>
      <c r="E1" s="66"/>
      <c r="F1" s="66"/>
      <c r="G1" s="66"/>
      <c r="H1" s="66"/>
      <c r="I1" s="66"/>
      <c r="J1" s="66"/>
      <c r="K1" s="66"/>
      <c r="L1" s="66"/>
      <c r="M1" s="66"/>
      <c r="N1" s="66"/>
      <c r="O1" s="66"/>
    </row>
    <row r="2" spans="2:15" x14ac:dyDescent="0.55000000000000004">
      <c r="B2" s="340" t="s">
        <v>283</v>
      </c>
      <c r="C2" s="87"/>
      <c r="D2" s="340" t="s">
        <v>1182</v>
      </c>
      <c r="E2" s="92" t="s">
        <v>631</v>
      </c>
      <c r="F2" s="92" t="s">
        <v>630</v>
      </c>
      <c r="G2" s="92" t="s">
        <v>166</v>
      </c>
      <c r="H2" s="92" t="s">
        <v>633</v>
      </c>
      <c r="I2" s="92" t="s">
        <v>629</v>
      </c>
      <c r="J2" s="66"/>
      <c r="K2" s="66"/>
      <c r="L2" s="66"/>
      <c r="M2" s="66"/>
      <c r="N2" s="66"/>
      <c r="O2" s="66"/>
    </row>
    <row r="3" spans="2:15" x14ac:dyDescent="0.55000000000000004">
      <c r="B3" s="224" t="str">
        <f>B59</f>
        <v>Payments / software</v>
      </c>
      <c r="C3" s="224"/>
      <c r="D3" s="224" t="s">
        <v>635</v>
      </c>
      <c r="E3" s="225">
        <f>D77</f>
        <v>2605.5872637900097</v>
      </c>
      <c r="F3" s="226">
        <v>5</v>
      </c>
      <c r="G3" s="225">
        <f>E3*F3</f>
        <v>13027.936318950049</v>
      </c>
      <c r="H3" s="227">
        <f t="shared" ref="H3:H10" ca="1" si="0">G3/G$10</f>
        <v>0.29218284172725056</v>
      </c>
      <c r="I3" s="228" t="s">
        <v>639</v>
      </c>
      <c r="J3" s="66"/>
      <c r="K3" s="66"/>
      <c r="L3" s="66"/>
      <c r="M3" s="66"/>
      <c r="N3" s="66"/>
      <c r="O3" s="66"/>
    </row>
    <row r="4" spans="2:15" x14ac:dyDescent="0.55000000000000004">
      <c r="B4" s="66" t="str">
        <f>B60</f>
        <v>BNPL (Afterpay)</v>
      </c>
      <c r="C4" s="66"/>
      <c r="D4" s="66" t="s">
        <v>632</v>
      </c>
      <c r="E4" s="69">
        <f>D78</f>
        <v>611.1105</v>
      </c>
      <c r="F4" s="133">
        <f>G4/E4</f>
        <v>10.346128423003206</v>
      </c>
      <c r="G4" s="69">
        <f>BNPL!B93</f>
        <v>6322.6277136457011</v>
      </c>
      <c r="H4" s="134">
        <f t="shared" ca="1" si="0"/>
        <v>0.14180015064007875</v>
      </c>
      <c r="I4" s="184" t="s">
        <v>638</v>
      </c>
      <c r="J4" s="66"/>
      <c r="K4" s="66"/>
      <c r="L4" s="66"/>
      <c r="M4" s="66"/>
      <c r="N4" s="66"/>
      <c r="O4" s="66"/>
    </row>
    <row r="5" spans="2:15" x14ac:dyDescent="0.55000000000000004">
      <c r="B5" s="224" t="str">
        <f>B61</f>
        <v>Cash App core</v>
      </c>
      <c r="C5" s="224"/>
      <c r="D5" s="224" t="s">
        <v>652</v>
      </c>
      <c r="E5" s="225">
        <f>D61</f>
        <v>1820.4914016</v>
      </c>
      <c r="F5" s="226">
        <v>3</v>
      </c>
      <c r="G5" s="225">
        <f>E5*F5</f>
        <v>5461.4742047999998</v>
      </c>
      <c r="H5" s="227">
        <f t="shared" ca="1" si="0"/>
        <v>0.12248670964544175</v>
      </c>
      <c r="I5" s="228" t="s">
        <v>1060</v>
      </c>
      <c r="J5" s="66"/>
      <c r="K5" s="66"/>
      <c r="L5" s="66"/>
      <c r="M5" s="66"/>
      <c r="N5" s="66"/>
      <c r="O5" s="66"/>
    </row>
    <row r="6" spans="2:15" x14ac:dyDescent="0.55000000000000004">
      <c r="B6" s="66" t="str">
        <f>B81</f>
        <v>Fin services Square</v>
      </c>
      <c r="C6" s="66"/>
      <c r="D6" s="66" t="s">
        <v>632</v>
      </c>
      <c r="E6" s="69">
        <f>D81</f>
        <v>697.7782726871543</v>
      </c>
      <c r="F6" s="133">
        <v>5</v>
      </c>
      <c r="G6" s="69">
        <f>E6*F6</f>
        <v>3488.8913634357714</v>
      </c>
      <c r="H6" s="134">
        <f t="shared" ca="1" si="0"/>
        <v>7.8246789674857778E-2</v>
      </c>
      <c r="I6" s="184" t="s">
        <v>639</v>
      </c>
      <c r="J6" s="66"/>
      <c r="K6" s="66"/>
      <c r="L6" s="66"/>
      <c r="M6" s="66"/>
      <c r="N6" s="66"/>
      <c r="O6" s="66"/>
    </row>
    <row r="7" spans="2:15" x14ac:dyDescent="0.55000000000000004">
      <c r="B7" s="224" t="str">
        <f>B82</f>
        <v>Fin services Cash App (ex BNPL)</v>
      </c>
      <c r="C7" s="224"/>
      <c r="D7" s="224" t="s">
        <v>632</v>
      </c>
      <c r="E7" s="225">
        <f>D82</f>
        <v>2018.5747497783657</v>
      </c>
      <c r="F7" s="226">
        <f ca="1">G7/E7</f>
        <v>10.135169303862666</v>
      </c>
      <c r="G7" s="225">
        <f ca="1">G10-G9-G8-G3-G4-G5-G6</f>
        <v>20458.596841505954</v>
      </c>
      <c r="H7" s="227">
        <f t="shared" ca="1" si="0"/>
        <v>0.45883329612292079</v>
      </c>
      <c r="I7" s="228" t="s">
        <v>1261</v>
      </c>
      <c r="J7" s="66"/>
      <c r="K7" s="66"/>
      <c r="L7" s="66"/>
      <c r="M7" s="66"/>
      <c r="N7" s="66"/>
      <c r="O7" s="66"/>
    </row>
    <row r="8" spans="2:15" x14ac:dyDescent="0.55000000000000004">
      <c r="B8" s="66" t="str">
        <f>B65</f>
        <v>Bitcoin</v>
      </c>
      <c r="C8" s="66"/>
      <c r="D8" s="66" t="s">
        <v>1193</v>
      </c>
      <c r="E8" s="69">
        <f>D120</f>
        <v>61.757676057114026</v>
      </c>
      <c r="F8" s="133">
        <f>G8/E8</f>
        <v>11.205673758865247</v>
      </c>
      <c r="G8" s="69">
        <f>(E8*0.79)/($C$166-0%)</f>
        <v>692.03637000170318</v>
      </c>
      <c r="H8" s="134">
        <f t="shared" ca="1" si="0"/>
        <v>1.5520581941407931E-2</v>
      </c>
      <c r="I8" s="184" t="s">
        <v>1181</v>
      </c>
      <c r="J8" s="66"/>
      <c r="K8" s="66"/>
      <c r="L8" s="66"/>
      <c r="M8" s="66"/>
      <c r="N8" s="66"/>
      <c r="O8" s="66"/>
    </row>
    <row r="9" spans="2:15" x14ac:dyDescent="0.55000000000000004">
      <c r="B9" s="229" t="str">
        <f>B66</f>
        <v>Central</v>
      </c>
      <c r="C9" s="229"/>
      <c r="D9" s="229" t="s">
        <v>1193</v>
      </c>
      <c r="E9" s="230">
        <f>D121</f>
        <v>-434</v>
      </c>
      <c r="F9" s="339">
        <f>G9/E9</f>
        <v>11.205673758865249</v>
      </c>
      <c r="G9" s="230">
        <f>(E9*0.79)/($C$166-0%)</f>
        <v>-4863.2624113475176</v>
      </c>
      <c r="H9" s="231">
        <f t="shared" ca="1" si="0"/>
        <v>-0.10907036975195755</v>
      </c>
      <c r="I9" s="337" t="s">
        <v>1181</v>
      </c>
      <c r="J9" s="66"/>
      <c r="K9" s="66"/>
      <c r="L9" s="66"/>
      <c r="M9" s="66"/>
      <c r="N9" s="66"/>
      <c r="O9" s="66"/>
    </row>
    <row r="10" spans="2:15" x14ac:dyDescent="0.55000000000000004">
      <c r="B10" s="66" t="s">
        <v>634</v>
      </c>
      <c r="C10" s="66"/>
      <c r="D10" s="66"/>
      <c r="E10" s="69"/>
      <c r="F10" s="66"/>
      <c r="G10" s="69">
        <f ca="1">G15</f>
        <v>44588.300400991662</v>
      </c>
      <c r="H10" s="134">
        <f t="shared" ca="1" si="0"/>
        <v>1</v>
      </c>
      <c r="I10" s="66"/>
      <c r="J10" s="66"/>
      <c r="K10" s="66"/>
      <c r="L10" s="66"/>
      <c r="M10" s="66"/>
      <c r="N10" s="66"/>
      <c r="O10" s="66"/>
    </row>
    <row r="11" spans="2:15" x14ac:dyDescent="0.55000000000000004">
      <c r="B11" s="224"/>
      <c r="C11" s="224"/>
      <c r="D11" s="224"/>
      <c r="E11" s="224"/>
      <c r="F11" s="224"/>
      <c r="G11" s="224"/>
      <c r="H11" s="224"/>
      <c r="I11" s="224"/>
      <c r="J11" s="66"/>
      <c r="K11" s="66"/>
      <c r="L11" s="66"/>
      <c r="M11" s="66"/>
      <c r="N11" s="66"/>
      <c r="O11" s="66"/>
    </row>
    <row r="12" spans="2:15" x14ac:dyDescent="0.55000000000000004">
      <c r="B12" s="66" t="s">
        <v>162</v>
      </c>
      <c r="C12" s="66"/>
      <c r="D12" s="66" t="s">
        <v>1137</v>
      </c>
      <c r="E12" s="69">
        <f>D59+D63</f>
        <v>3603.2232672555301</v>
      </c>
      <c r="F12" s="133">
        <f>G12/E12</f>
        <v>4.5839034823301992</v>
      </c>
      <c r="G12" s="69">
        <f>G3+G6</f>
        <v>16516.827682385821</v>
      </c>
      <c r="H12" s="134">
        <f ca="1">G12/G$15</f>
        <v>0.37042963140210833</v>
      </c>
      <c r="I12" s="184" t="s">
        <v>1261</v>
      </c>
      <c r="J12" s="66"/>
      <c r="K12" s="66"/>
      <c r="L12" s="66"/>
      <c r="M12" s="66"/>
      <c r="N12" s="66"/>
      <c r="O12" s="66"/>
    </row>
    <row r="13" spans="2:15" x14ac:dyDescent="0.55000000000000004">
      <c r="B13" s="224" t="s">
        <v>163</v>
      </c>
      <c r="C13" s="224"/>
      <c r="D13" s="224" t="s">
        <v>1136</v>
      </c>
      <c r="E13" s="225">
        <f>Master!I242</f>
        <v>59</v>
      </c>
      <c r="F13" s="226">
        <f ca="1">G13/E13</f>
        <v>558.21584966022635</v>
      </c>
      <c r="G13" s="225">
        <f ca="1">G4+G5+G7+G8</f>
        <v>32934.735129953355</v>
      </c>
      <c r="H13" s="227">
        <f ca="1">G13/G$15</f>
        <v>0.73864073834984911</v>
      </c>
      <c r="I13" s="228" t="s">
        <v>1261</v>
      </c>
      <c r="J13" s="66"/>
      <c r="K13" s="66"/>
      <c r="L13" s="66"/>
      <c r="M13" s="66"/>
      <c r="N13" s="66"/>
      <c r="O13" s="66"/>
    </row>
    <row r="14" spans="2:15" x14ac:dyDescent="0.55000000000000004">
      <c r="B14" s="87" t="str">
        <f>B9</f>
        <v>Central</v>
      </c>
      <c r="C14" s="87"/>
      <c r="D14" s="87"/>
      <c r="E14" s="87"/>
      <c r="F14" s="87"/>
      <c r="G14" s="88">
        <f>G9</f>
        <v>-4863.2624113475176</v>
      </c>
      <c r="H14" s="210">
        <f ca="1">G14/G$15</f>
        <v>-0.10907036975195755</v>
      </c>
      <c r="I14" s="87"/>
      <c r="J14" s="66"/>
      <c r="K14" s="66"/>
      <c r="L14" s="66"/>
      <c r="M14" s="66"/>
      <c r="N14" s="66"/>
      <c r="O14" s="66"/>
    </row>
    <row r="15" spans="2:15" x14ac:dyDescent="0.55000000000000004">
      <c r="B15" s="224" t="s">
        <v>634</v>
      </c>
      <c r="C15" s="224"/>
      <c r="D15" s="224"/>
      <c r="E15" s="224"/>
      <c r="F15" s="224"/>
      <c r="G15" s="225">
        <f ca="1">G20+G19-G18-G17</f>
        <v>44588.300400991662</v>
      </c>
      <c r="H15" s="224"/>
      <c r="I15" s="224"/>
      <c r="J15" s="66"/>
      <c r="K15" s="66"/>
      <c r="L15" s="66"/>
      <c r="M15" s="66"/>
      <c r="N15" s="66"/>
      <c r="O15" s="66"/>
    </row>
    <row r="16" spans="2:15" x14ac:dyDescent="0.55000000000000004">
      <c r="B16" s="66"/>
      <c r="C16" s="66"/>
      <c r="D16" s="66"/>
      <c r="E16" s="66"/>
      <c r="F16" s="66"/>
      <c r="G16" s="66"/>
      <c r="H16" s="66"/>
      <c r="I16" s="66"/>
      <c r="J16" s="66"/>
      <c r="K16" s="66"/>
      <c r="L16" s="66"/>
      <c r="M16" s="66"/>
      <c r="N16" s="66"/>
      <c r="O16" s="66"/>
    </row>
    <row r="17" spans="2:15" x14ac:dyDescent="0.55000000000000004">
      <c r="B17" s="224" t="s">
        <v>1265</v>
      </c>
      <c r="C17" s="224"/>
      <c r="D17" s="224" t="s">
        <v>1266</v>
      </c>
      <c r="E17" s="225">
        <v>8211</v>
      </c>
      <c r="F17" s="225">
        <v>54000</v>
      </c>
      <c r="G17" s="225">
        <f>E17*F17/1000000</f>
        <v>443.39400000000001</v>
      </c>
      <c r="H17" s="362"/>
      <c r="I17" s="228" t="s">
        <v>1267</v>
      </c>
      <c r="J17" s="66"/>
      <c r="K17" s="66"/>
      <c r="L17" s="66"/>
      <c r="M17" s="66"/>
      <c r="N17" s="66"/>
      <c r="O17" s="66"/>
    </row>
    <row r="18" spans="2:15" x14ac:dyDescent="0.55000000000000004">
      <c r="B18" s="66" t="s">
        <v>1131</v>
      </c>
      <c r="C18" s="66"/>
      <c r="D18" s="66" t="s">
        <v>1132</v>
      </c>
      <c r="E18" s="69">
        <v>4</v>
      </c>
      <c r="F18" s="69">
        <f>Master!I29</f>
        <v>220</v>
      </c>
      <c r="G18" s="69">
        <f>E18*F18</f>
        <v>880</v>
      </c>
      <c r="H18" s="66"/>
      <c r="I18" s="184" t="s">
        <v>1264</v>
      </c>
      <c r="J18" s="66"/>
      <c r="K18" s="66"/>
      <c r="L18" s="66"/>
      <c r="M18" s="66"/>
      <c r="N18" s="66"/>
      <c r="O18" s="66"/>
    </row>
    <row r="19" spans="2:15" x14ac:dyDescent="0.55000000000000004">
      <c r="B19" s="224" t="s">
        <v>636</v>
      </c>
      <c r="C19" s="224"/>
      <c r="D19" s="224"/>
      <c r="E19" s="224"/>
      <c r="F19" s="224"/>
      <c r="G19" s="225">
        <f>Master!H205</f>
        <v>1584</v>
      </c>
      <c r="H19" s="224"/>
      <c r="I19" s="224"/>
      <c r="J19" s="66"/>
      <c r="K19" s="66"/>
      <c r="L19" s="66"/>
      <c r="M19" s="66"/>
      <c r="N19" s="66"/>
      <c r="O19" s="66"/>
    </row>
    <row r="20" spans="2:15" x14ac:dyDescent="0.55000000000000004">
      <c r="B20" s="66" t="s">
        <v>637</v>
      </c>
      <c r="C20" s="66"/>
      <c r="D20" s="66"/>
      <c r="E20" s="66"/>
      <c r="F20" s="66"/>
      <c r="G20" s="69">
        <f ca="1">G10+G17+G18-G19</f>
        <v>44327.694400991662</v>
      </c>
      <c r="H20" s="66"/>
      <c r="I20" s="66"/>
      <c r="J20" s="66"/>
      <c r="K20" s="66"/>
      <c r="L20" s="66"/>
      <c r="M20" s="66"/>
      <c r="N20" s="66"/>
      <c r="O20" s="66"/>
    </row>
    <row r="21" spans="2:15" ht="14.7" thickBot="1" x14ac:dyDescent="0.6">
      <c r="B21" s="224" t="s">
        <v>334</v>
      </c>
      <c r="C21" s="224"/>
      <c r="D21" s="224"/>
      <c r="E21" s="224"/>
      <c r="F21" s="224"/>
      <c r="G21" s="225">
        <f>E35</f>
        <v>632.32000000000005</v>
      </c>
      <c r="H21" s="224"/>
      <c r="I21" s="224"/>
      <c r="J21" s="66"/>
      <c r="K21" s="66"/>
      <c r="L21" s="66"/>
      <c r="M21" s="66"/>
      <c r="N21" s="66"/>
      <c r="O21" s="66"/>
    </row>
    <row r="22" spans="2:15" ht="14.7" thickBot="1" x14ac:dyDescent="0.6">
      <c r="B22" s="87" t="s">
        <v>1191</v>
      </c>
      <c r="C22" s="87"/>
      <c r="D22" s="87"/>
      <c r="E22" s="87"/>
      <c r="F22" s="87"/>
      <c r="G22" s="338">
        <f ca="1">G20/G21</f>
        <v>70.103261641244401</v>
      </c>
      <c r="H22" s="87"/>
      <c r="I22" s="87"/>
      <c r="J22" s="66"/>
      <c r="K22" s="66"/>
      <c r="L22" s="66"/>
      <c r="M22" s="66"/>
      <c r="N22" s="66"/>
      <c r="O22" s="66"/>
    </row>
    <row r="23" spans="2:15" x14ac:dyDescent="0.55000000000000004">
      <c r="B23" s="224" t="s">
        <v>1192</v>
      </c>
      <c r="C23" s="224"/>
      <c r="D23" s="224"/>
      <c r="E23" s="224"/>
      <c r="F23" s="224"/>
      <c r="G23" s="226">
        <f>C32</f>
        <v>61.24</v>
      </c>
      <c r="H23" s="224"/>
      <c r="I23" s="224"/>
      <c r="J23" s="66"/>
      <c r="K23" s="66"/>
      <c r="L23" s="66"/>
      <c r="M23" s="66"/>
      <c r="N23" s="66"/>
      <c r="O23" s="66"/>
    </row>
    <row r="24" spans="2:15" x14ac:dyDescent="0.55000000000000004">
      <c r="B24" s="87" t="s">
        <v>737</v>
      </c>
      <c r="C24" s="87"/>
      <c r="D24" s="87"/>
      <c r="E24" s="87"/>
      <c r="F24" s="87"/>
      <c r="G24" s="210">
        <f ca="1">G22/G23-1</f>
        <v>0.14472994188838006</v>
      </c>
      <c r="H24" s="87"/>
      <c r="I24" s="87"/>
      <c r="J24" s="66"/>
      <c r="K24" s="66"/>
      <c r="L24" s="66"/>
      <c r="M24" s="66"/>
      <c r="N24" s="66"/>
      <c r="O24" s="66"/>
    </row>
    <row r="25" spans="2:15" x14ac:dyDescent="0.55000000000000004">
      <c r="B25" s="66"/>
      <c r="C25" s="66"/>
      <c r="D25" s="66"/>
      <c r="E25" s="66"/>
      <c r="F25" s="66"/>
      <c r="G25" s="66"/>
      <c r="H25" s="66"/>
      <c r="I25" s="66"/>
      <c r="J25" s="66"/>
      <c r="K25" s="66"/>
      <c r="L25" s="66"/>
      <c r="M25" s="66"/>
      <c r="N25" s="66"/>
      <c r="O25" s="66"/>
    </row>
    <row r="26" spans="2:15" x14ac:dyDescent="0.55000000000000004">
      <c r="B26" s="66" t="s">
        <v>733</v>
      </c>
      <c r="C26" s="66"/>
      <c r="D26" s="66"/>
      <c r="E26" s="66"/>
      <c r="F26" s="66"/>
      <c r="G26" s="66"/>
      <c r="H26" s="66"/>
      <c r="I26" s="66"/>
      <c r="J26" s="66"/>
      <c r="K26" s="66"/>
      <c r="L26" s="66"/>
      <c r="M26" s="66"/>
      <c r="N26" s="66"/>
      <c r="O26" s="66"/>
    </row>
    <row r="27" spans="2:15" x14ac:dyDescent="0.55000000000000004">
      <c r="B27" s="183" t="s">
        <v>735</v>
      </c>
      <c r="C27" s="66"/>
      <c r="D27" s="66"/>
      <c r="E27" s="66"/>
      <c r="F27" s="66"/>
      <c r="G27" s="66"/>
      <c r="H27" s="66"/>
      <c r="I27" s="66"/>
      <c r="J27" s="66"/>
      <c r="K27" s="66"/>
      <c r="L27" s="66"/>
      <c r="M27" s="66"/>
      <c r="N27" s="66"/>
      <c r="O27" s="66"/>
    </row>
    <row r="28" spans="2:15" x14ac:dyDescent="0.55000000000000004">
      <c r="B28" s="183" t="s">
        <v>736</v>
      </c>
      <c r="C28" s="66"/>
      <c r="D28" s="66"/>
      <c r="E28" s="66"/>
      <c r="F28" s="66"/>
      <c r="G28" s="66"/>
      <c r="H28" s="66"/>
      <c r="I28" s="66"/>
      <c r="J28" s="66"/>
      <c r="K28" s="66"/>
      <c r="L28" s="66"/>
      <c r="M28" s="66"/>
      <c r="N28" s="66"/>
      <c r="O28" s="66"/>
    </row>
    <row r="29" spans="2:15" x14ac:dyDescent="0.55000000000000004">
      <c r="B29" s="183" t="s">
        <v>734</v>
      </c>
      <c r="C29" s="66"/>
      <c r="D29" s="66"/>
      <c r="E29" s="66"/>
      <c r="F29" s="66"/>
      <c r="G29" s="66"/>
      <c r="H29" s="66"/>
      <c r="I29" s="66"/>
      <c r="J29" s="66"/>
      <c r="K29" s="66"/>
      <c r="L29" s="66"/>
      <c r="M29" s="66"/>
      <c r="N29" s="66"/>
      <c r="O29" s="66"/>
    </row>
    <row r="30" spans="2:15" x14ac:dyDescent="0.55000000000000004">
      <c r="B30" s="66" t="s">
        <v>732</v>
      </c>
      <c r="C30" s="66"/>
      <c r="D30" s="66"/>
      <c r="E30" s="66"/>
      <c r="F30" s="66"/>
      <c r="G30" s="66"/>
      <c r="H30" s="66"/>
      <c r="I30" s="66"/>
      <c r="J30" s="66"/>
      <c r="K30" s="66"/>
      <c r="L30" s="66"/>
      <c r="M30" s="66"/>
      <c r="N30" s="66"/>
      <c r="O30" s="66"/>
    </row>
    <row r="31" spans="2:15" x14ac:dyDescent="0.55000000000000004">
      <c r="B31" s="66"/>
      <c r="C31" s="66"/>
      <c r="D31" s="66"/>
      <c r="E31" s="66"/>
      <c r="F31" s="66"/>
      <c r="G31" s="66"/>
      <c r="H31" s="66"/>
      <c r="I31" s="66"/>
      <c r="J31" s="66"/>
      <c r="K31" s="66"/>
      <c r="L31" s="66"/>
      <c r="M31" s="66"/>
      <c r="N31" s="66"/>
      <c r="O31" s="66"/>
    </row>
    <row r="32" spans="2:15" x14ac:dyDescent="0.55000000000000004">
      <c r="B32" s="66" t="s">
        <v>167</v>
      </c>
      <c r="C32" s="221">
        <v>61.24</v>
      </c>
      <c r="D32" s="66"/>
      <c r="E32" s="66"/>
      <c r="F32" s="66"/>
      <c r="G32" s="66"/>
      <c r="H32" s="66"/>
      <c r="I32" s="66"/>
      <c r="J32" s="66"/>
      <c r="K32" s="66"/>
      <c r="L32" s="66"/>
      <c r="M32" s="66"/>
      <c r="N32" s="66"/>
      <c r="O32" s="66"/>
    </row>
    <row r="33" spans="2:15" x14ac:dyDescent="0.55000000000000004">
      <c r="B33" s="66"/>
      <c r="C33" s="66"/>
      <c r="D33" s="66"/>
      <c r="E33" s="66"/>
      <c r="F33" s="66"/>
      <c r="G33" s="66"/>
      <c r="H33" s="66"/>
      <c r="I33" s="66"/>
      <c r="J33" s="66"/>
      <c r="K33" s="66"/>
      <c r="L33" s="66"/>
      <c r="M33" s="66"/>
      <c r="N33" s="66"/>
      <c r="O33" s="66"/>
    </row>
    <row r="34" spans="2:15" x14ac:dyDescent="0.55000000000000004">
      <c r="B34" s="68" t="s">
        <v>693</v>
      </c>
      <c r="C34" s="68"/>
      <c r="D34" s="68">
        <f>D56</f>
        <v>2024</v>
      </c>
      <c r="E34" s="68">
        <f t="shared" ref="E34:J34" si="1">E56</f>
        <v>2025</v>
      </c>
      <c r="F34" s="68">
        <f t="shared" si="1"/>
        <v>2026</v>
      </c>
      <c r="G34" s="68">
        <f t="shared" si="1"/>
        <v>2027</v>
      </c>
      <c r="H34" s="68">
        <f t="shared" si="1"/>
        <v>2028</v>
      </c>
      <c r="I34" s="68">
        <f t="shared" si="1"/>
        <v>2029</v>
      </c>
      <c r="J34" s="68">
        <f t="shared" si="1"/>
        <v>2030</v>
      </c>
      <c r="K34" s="66"/>
      <c r="L34" s="66"/>
      <c r="M34" s="66"/>
      <c r="N34" s="66"/>
      <c r="O34" s="66"/>
    </row>
    <row r="35" spans="2:15" x14ac:dyDescent="0.55000000000000004">
      <c r="B35" s="66" t="s">
        <v>665</v>
      </c>
      <c r="C35" s="66"/>
      <c r="D35" s="69">
        <f>Master!H141</f>
        <v>628.32000000000005</v>
      </c>
      <c r="E35" s="69">
        <f>Master!I141</f>
        <v>632.32000000000005</v>
      </c>
      <c r="F35" s="69">
        <f>Master!J141</f>
        <v>630.32000000000005</v>
      </c>
      <c r="G35" s="69">
        <f>Master!K141</f>
        <v>618.32000000000005</v>
      </c>
      <c r="H35" s="69">
        <f>Master!L141</f>
        <v>601.32000000000005</v>
      </c>
      <c r="I35" s="69">
        <f>Master!M141</f>
        <v>579.32000000000005</v>
      </c>
      <c r="J35" s="69">
        <f>Master!N141</f>
        <v>557.32000000000005</v>
      </c>
      <c r="K35" s="66"/>
      <c r="L35" s="66"/>
      <c r="M35" s="66"/>
      <c r="N35" s="66"/>
      <c r="O35" s="66"/>
    </row>
    <row r="36" spans="2:15" x14ac:dyDescent="0.55000000000000004">
      <c r="B36" s="66" t="s">
        <v>335</v>
      </c>
      <c r="C36" s="66"/>
      <c r="D36" s="69">
        <f>$C$32*D35</f>
        <v>38478.316800000008</v>
      </c>
      <c r="E36" s="69">
        <f t="shared" ref="E36:J36" si="2">$C$32*E35</f>
        <v>38723.276800000007</v>
      </c>
      <c r="F36" s="69">
        <f t="shared" si="2"/>
        <v>38600.796800000004</v>
      </c>
      <c r="G36" s="69">
        <f t="shared" si="2"/>
        <v>37865.916800000006</v>
      </c>
      <c r="H36" s="69">
        <f t="shared" si="2"/>
        <v>36824.836800000005</v>
      </c>
      <c r="I36" s="69">
        <f t="shared" si="2"/>
        <v>35477.556800000006</v>
      </c>
      <c r="J36" s="69">
        <f t="shared" si="2"/>
        <v>34130.276800000007</v>
      </c>
      <c r="K36" s="66"/>
      <c r="L36" s="66"/>
      <c r="M36" s="66"/>
      <c r="N36" s="66"/>
      <c r="O36" s="66"/>
    </row>
    <row r="37" spans="2:15" x14ac:dyDescent="0.55000000000000004">
      <c r="B37" s="66" t="s">
        <v>636</v>
      </c>
      <c r="C37" s="66"/>
      <c r="D37" s="69">
        <f>Master!H205</f>
        <v>1584</v>
      </c>
      <c r="E37" s="69">
        <f t="shared" ref="E37:J37" si="3">D37</f>
        <v>1584</v>
      </c>
      <c r="F37" s="69">
        <f t="shared" si="3"/>
        <v>1584</v>
      </c>
      <c r="G37" s="69">
        <f t="shared" si="3"/>
        <v>1584</v>
      </c>
      <c r="H37" s="69">
        <f t="shared" si="3"/>
        <v>1584</v>
      </c>
      <c r="I37" s="69">
        <f t="shared" si="3"/>
        <v>1584</v>
      </c>
      <c r="J37" s="69">
        <f t="shared" si="3"/>
        <v>1584</v>
      </c>
      <c r="K37" s="66"/>
      <c r="L37" s="66"/>
      <c r="M37" s="66"/>
      <c r="N37" s="66"/>
      <c r="O37" s="66"/>
    </row>
    <row r="38" spans="2:15" x14ac:dyDescent="0.55000000000000004">
      <c r="B38" s="66" t="s">
        <v>166</v>
      </c>
      <c r="C38" s="66"/>
      <c r="D38" s="69">
        <f>D36+D37</f>
        <v>40062.316800000008</v>
      </c>
      <c r="E38" s="69">
        <f t="shared" ref="E38:J38" si="4">E36+E37</f>
        <v>40307.276800000007</v>
      </c>
      <c r="F38" s="69">
        <f t="shared" si="4"/>
        <v>40184.796800000004</v>
      </c>
      <c r="G38" s="69">
        <f t="shared" si="4"/>
        <v>39449.916800000006</v>
      </c>
      <c r="H38" s="69">
        <f t="shared" si="4"/>
        <v>38408.836800000005</v>
      </c>
      <c r="I38" s="69">
        <f t="shared" si="4"/>
        <v>37061.556800000006</v>
      </c>
      <c r="J38" s="69">
        <f t="shared" si="4"/>
        <v>35714.276800000007</v>
      </c>
      <c r="K38" s="66"/>
      <c r="L38" s="66"/>
      <c r="M38" s="66"/>
      <c r="N38" s="66"/>
      <c r="O38" s="66"/>
    </row>
    <row r="39" spans="2:15" x14ac:dyDescent="0.55000000000000004">
      <c r="B39" s="66"/>
      <c r="C39" s="66"/>
      <c r="D39" s="69"/>
      <c r="E39" s="69"/>
      <c r="F39" s="69"/>
      <c r="G39" s="69"/>
      <c r="H39" s="69"/>
      <c r="I39" s="69"/>
      <c r="J39" s="69"/>
      <c r="K39" s="66"/>
      <c r="L39" s="66"/>
      <c r="M39" s="66"/>
      <c r="N39" s="66"/>
      <c r="O39" s="66"/>
    </row>
    <row r="40" spans="2:15" x14ac:dyDescent="0.55000000000000004">
      <c r="B40" s="66" t="s">
        <v>1159</v>
      </c>
      <c r="C40" s="66"/>
      <c r="D40" s="133">
        <f>D38/Master!I41</f>
        <v>1.6187200886611126</v>
      </c>
      <c r="E40" s="133">
        <f>E38/Master!J41</f>
        <v>1.4832585787568509</v>
      </c>
      <c r="F40" s="133">
        <f>F38/Master!K41</f>
        <v>1.3474453697261797</v>
      </c>
      <c r="G40" s="133">
        <f>G38/Master!L41</f>
        <v>1.2130927071471873</v>
      </c>
      <c r="H40" s="133">
        <f>H38/Master!M41</f>
        <v>1.0942291431063123</v>
      </c>
      <c r="I40" s="133">
        <f>I38/Master!N41</f>
        <v>0.99309715600959603</v>
      </c>
      <c r="J40" s="133">
        <f>J38/Master!O41</f>
        <v>0.90305658503800712</v>
      </c>
      <c r="K40" s="66"/>
      <c r="L40" s="66"/>
      <c r="M40" s="66"/>
      <c r="N40" s="66"/>
      <c r="O40" s="66"/>
    </row>
    <row r="41" spans="2:15" x14ac:dyDescent="0.55000000000000004">
      <c r="B41" s="66" t="s">
        <v>1158</v>
      </c>
      <c r="C41" s="66"/>
      <c r="D41" s="133">
        <f t="shared" ref="D41:J41" si="5">D38/D67</f>
        <v>4.5026947818826413</v>
      </c>
      <c r="E41" s="133">
        <f t="shared" si="5"/>
        <v>3.9651055220125122</v>
      </c>
      <c r="F41" s="133">
        <f t="shared" si="5"/>
        <v>3.4926802209713039</v>
      </c>
      <c r="G41" s="133">
        <f t="shared" si="5"/>
        <v>3.0715668709425064</v>
      </c>
      <c r="H41" s="133">
        <f t="shared" si="5"/>
        <v>2.7165449505436059</v>
      </c>
      <c r="I41" s="133">
        <f t="shared" si="5"/>
        <v>2.4379745802152408</v>
      </c>
      <c r="J41" s="133">
        <f t="shared" si="5"/>
        <v>2.1999428253652735</v>
      </c>
      <c r="K41" s="66"/>
      <c r="L41" s="66"/>
      <c r="M41" s="66"/>
      <c r="N41" s="66"/>
      <c r="O41" s="66"/>
    </row>
    <row r="42" spans="2:15" x14ac:dyDescent="0.55000000000000004">
      <c r="B42" s="66" t="s">
        <v>1061</v>
      </c>
      <c r="C42" s="66"/>
      <c r="D42" s="133">
        <f t="shared" ref="D42:J42" si="6">D38/D85</f>
        <v>4.935357711204615</v>
      </c>
      <c r="E42" s="133">
        <f t="shared" si="6"/>
        <v>4.3430660621852644</v>
      </c>
      <c r="F42" s="133">
        <f t="shared" si="6"/>
        <v>3.825206045029458</v>
      </c>
      <c r="G42" s="133">
        <f t="shared" si="6"/>
        <v>3.364099117887307</v>
      </c>
      <c r="H42" s="133">
        <f t="shared" si="6"/>
        <v>2.9743447954358104</v>
      </c>
      <c r="I42" s="133">
        <f t="shared" si="6"/>
        <v>2.6683249481606803</v>
      </c>
      <c r="J42" s="133">
        <f t="shared" si="6"/>
        <v>2.4072449147084209</v>
      </c>
      <c r="K42" s="66"/>
      <c r="L42" s="66"/>
      <c r="M42" s="66"/>
      <c r="N42" s="66"/>
      <c r="O42" s="66"/>
    </row>
    <row r="43" spans="2:15" x14ac:dyDescent="0.55000000000000004">
      <c r="B43" s="66" t="s">
        <v>1160</v>
      </c>
      <c r="C43" s="66"/>
      <c r="D43" s="133">
        <f>D38/Master!I87</f>
        <v>27.703573831089649</v>
      </c>
      <c r="E43" s="133">
        <f>E38/Master!J87</f>
        <v>19.495241065836538</v>
      </c>
      <c r="F43" s="133">
        <f>F38/Master!K87</f>
        <v>14.710555088857689</v>
      </c>
      <c r="G43" s="133">
        <f>G38/Master!L87</f>
        <v>12.164018658365997</v>
      </c>
      <c r="H43" s="133">
        <f>H38/Master!M87</f>
        <v>10.249694791890199</v>
      </c>
      <c r="I43" s="133">
        <f>I38/Master!N87</f>
        <v>8.9727489492899117</v>
      </c>
      <c r="J43" s="133">
        <f>J38/Master!O87</f>
        <v>7.9725491266349637</v>
      </c>
      <c r="K43" s="66"/>
      <c r="L43" s="66"/>
      <c r="M43" s="66"/>
      <c r="N43" s="66"/>
      <c r="O43" s="66"/>
    </row>
    <row r="44" spans="2:15" x14ac:dyDescent="0.55000000000000004">
      <c r="B44" s="66"/>
      <c r="C44" s="66"/>
      <c r="D44" s="133"/>
      <c r="E44" s="133"/>
      <c r="F44" s="133"/>
      <c r="G44" s="133"/>
      <c r="H44" s="133"/>
      <c r="I44" s="133"/>
      <c r="J44" s="133"/>
      <c r="K44" s="66"/>
      <c r="L44" s="66"/>
      <c r="M44" s="66"/>
      <c r="N44" s="66"/>
      <c r="O44" s="66"/>
    </row>
    <row r="45" spans="2:15" x14ac:dyDescent="0.55000000000000004">
      <c r="B45" s="66" t="s">
        <v>705</v>
      </c>
      <c r="C45" s="66"/>
      <c r="D45" s="133">
        <f>D36/Master!I113</f>
        <v>27.460769226453074</v>
      </c>
      <c r="E45" s="133">
        <f>E36/Master!J113</f>
        <v>22.783109989354415</v>
      </c>
      <c r="F45" s="133">
        <f>F36/Master!K113</f>
        <v>16.682842148264374</v>
      </c>
      <c r="G45" s="133">
        <f>G36/Master!L113</f>
        <v>14.399590726713296</v>
      </c>
      <c r="H45" s="133">
        <f>H36/Master!M113</f>
        <v>12.078530563546295</v>
      </c>
      <c r="I45" s="133">
        <f>I36/Master!N113</f>
        <v>10.708874240818577</v>
      </c>
      <c r="J45" s="133">
        <f>J36/Master!O113</f>
        <v>9.660802323061235</v>
      </c>
      <c r="K45" s="66"/>
      <c r="L45" s="66"/>
      <c r="M45" s="66"/>
      <c r="N45" s="66"/>
      <c r="O45" s="66"/>
    </row>
    <row r="46" spans="2:15" x14ac:dyDescent="0.55000000000000004">
      <c r="B46" s="66" t="s">
        <v>706</v>
      </c>
      <c r="C46" s="66"/>
      <c r="D46" s="133">
        <f>D36/Master!I127</f>
        <v>16.43227118128036</v>
      </c>
      <c r="E46" s="133">
        <f>E36/Master!J127</f>
        <v>14.019363783325769</v>
      </c>
      <c r="F46" s="133">
        <f>F36/Master!K127</f>
        <v>11.32688820181308</v>
      </c>
      <c r="G46" s="133">
        <f>G36/Master!L127</f>
        <v>10.080394658329093</v>
      </c>
      <c r="H46" s="133">
        <f>H36/Master!M127</f>
        <v>8.7485355528341451</v>
      </c>
      <c r="I46" s="133">
        <f>I36/Master!N127</f>
        <v>7.8694934465432764</v>
      </c>
      <c r="J46" s="133">
        <f>J36/Master!O127</f>
        <v>7.1638955823050683</v>
      </c>
      <c r="K46" s="66"/>
      <c r="L46" s="173">
        <f>E46*5/12+F46*7/12</f>
        <v>12.448753027443368</v>
      </c>
      <c r="M46" s="66"/>
      <c r="N46" s="66"/>
      <c r="O46" s="66"/>
    </row>
    <row r="47" spans="2:15" x14ac:dyDescent="0.55000000000000004">
      <c r="B47" s="66" t="s">
        <v>708</v>
      </c>
      <c r="C47" s="133"/>
      <c r="D47" s="133">
        <f>$D$36/Master!I130</f>
        <v>28.854818182552819</v>
      </c>
      <c r="E47" s="133">
        <f>E36/Master!J130</f>
        <v>22.398824705393583</v>
      </c>
      <c r="F47" s="133">
        <f>F36/Master!K130</f>
        <v>16.434695702402106</v>
      </c>
      <c r="G47" s="133">
        <f>G36/Master!L130</f>
        <v>14.177950622781264</v>
      </c>
      <c r="H47" s="133">
        <f>H36/Master!M130</f>
        <v>11.892463634664288</v>
      </c>
      <c r="I47" s="133">
        <f>I36/Master!N130</f>
        <v>10.534818960771457</v>
      </c>
      <c r="J47" s="133">
        <f>J36/Master!O130</f>
        <v>9.4935538937157347</v>
      </c>
      <c r="K47" s="66"/>
      <c r="L47" s="173">
        <f>E47*5/12+F47*7/12</f>
        <v>18.919749453648556</v>
      </c>
      <c r="M47" s="66"/>
      <c r="N47" s="66"/>
      <c r="O47" s="66"/>
    </row>
    <row r="48" spans="2:15" x14ac:dyDescent="0.55000000000000004">
      <c r="B48" s="66"/>
      <c r="C48" s="66"/>
      <c r="D48" s="133"/>
      <c r="E48" s="133"/>
      <c r="F48" s="133"/>
      <c r="G48" s="133"/>
      <c r="H48" s="133"/>
      <c r="I48" s="133"/>
      <c r="J48" s="133"/>
      <c r="K48" s="66"/>
      <c r="L48" s="66"/>
      <c r="M48" s="66"/>
      <c r="N48" s="66"/>
      <c r="O48" s="66"/>
    </row>
    <row r="49" spans="2:15" x14ac:dyDescent="0.55000000000000004">
      <c r="B49" s="66" t="s">
        <v>1228</v>
      </c>
      <c r="C49" s="66"/>
      <c r="D49" s="171">
        <f>Master!I191/D36</f>
        <v>5.0415940643408763E-2</v>
      </c>
      <c r="E49" s="171">
        <f>Master!J191/E36</f>
        <v>6.8434409602252971E-2</v>
      </c>
      <c r="F49" s="171">
        <f>Master!K191/F36</f>
        <v>8.78120654786268E-2</v>
      </c>
      <c r="G49" s="171">
        <f>Master!L191/G36</f>
        <v>0.10113498247199476</v>
      </c>
      <c r="H49" s="171">
        <f>Master!M191/H36</f>
        <v>0.11841984900631024</v>
      </c>
      <c r="I49" s="171">
        <f>Master!N191/I36</f>
        <v>0.13262002502280421</v>
      </c>
      <c r="J49" s="171">
        <f>Master!O191/J36</f>
        <v>0.1464985103507892</v>
      </c>
      <c r="K49" s="66"/>
      <c r="L49" s="66"/>
      <c r="M49" s="66"/>
      <c r="N49" s="66"/>
      <c r="O49" s="66"/>
    </row>
    <row r="50" spans="2:15" x14ac:dyDescent="0.55000000000000004">
      <c r="B50" s="66"/>
      <c r="C50" s="66"/>
      <c r="D50" s="133"/>
      <c r="E50" s="133"/>
      <c r="F50" s="133"/>
      <c r="G50" s="133"/>
      <c r="H50" s="133"/>
      <c r="I50" s="133"/>
      <c r="J50" s="133"/>
      <c r="K50" s="66"/>
      <c r="L50" s="66"/>
      <c r="M50" s="66"/>
      <c r="N50" s="66"/>
      <c r="O50" s="66"/>
    </row>
    <row r="51" spans="2:15" x14ac:dyDescent="0.55000000000000004">
      <c r="B51" s="220" t="s">
        <v>713</v>
      </c>
      <c r="C51" s="66"/>
      <c r="D51" s="133"/>
      <c r="E51" s="133"/>
      <c r="F51" s="133"/>
      <c r="G51" s="133"/>
      <c r="H51" s="133"/>
      <c r="I51" s="133"/>
      <c r="J51" s="133"/>
      <c r="K51" s="66"/>
      <c r="L51" s="66"/>
      <c r="M51" s="66"/>
      <c r="N51" s="66"/>
      <c r="O51" s="66"/>
    </row>
    <row r="52" spans="2:15" x14ac:dyDescent="0.55000000000000004">
      <c r="B52" s="66" t="s">
        <v>712</v>
      </c>
      <c r="C52" s="66"/>
      <c r="D52" s="133">
        <f>D45/(Master!J114*100)</f>
        <v>1.2893237854300095</v>
      </c>
      <c r="E52" s="133">
        <f>E45/(Master!K114*100)</f>
        <v>0.63051434413344687</v>
      </c>
      <c r="F52" s="133">
        <f>F45/(Master!L114*100)</f>
        <v>1.2221239426182902</v>
      </c>
      <c r="G52" s="133">
        <f>G45/(Master!M114*100)</f>
        <v>0.90343610145114217</v>
      </c>
      <c r="H52" s="133">
        <f>H45/(Master!N114*100)</f>
        <v>1.3942074397122728</v>
      </c>
      <c r="I52" s="133">
        <f>I45/(Master!O114*100)</f>
        <v>1.6129855023318396</v>
      </c>
      <c r="J52" s="133"/>
      <c r="K52" s="66"/>
      <c r="L52" s="66"/>
      <c r="M52" s="66"/>
      <c r="N52" s="66"/>
      <c r="O52" s="66"/>
    </row>
    <row r="53" spans="2:15" x14ac:dyDescent="0.55000000000000004">
      <c r="B53" s="66" t="s">
        <v>711</v>
      </c>
      <c r="C53" s="66"/>
      <c r="D53" s="133">
        <f>D46/(Master!J128*100)</f>
        <v>0.91506779871801591</v>
      </c>
      <c r="E53" s="133">
        <f>E46/(Master!K128*100)</f>
        <v>0.59965178765648552</v>
      </c>
      <c r="F53" s="133">
        <f>F46/(Master!L128*100)</f>
        <v>1.1076217738094736</v>
      </c>
      <c r="G53" s="133">
        <f>G46/(Master!M128*100)</f>
        <v>0.83614144223908682</v>
      </c>
      <c r="H53" s="133">
        <f>H46/(Master!N128*100)</f>
        <v>1.2316753602277752</v>
      </c>
      <c r="I53" s="133">
        <f>I46/(Master!O128*100)</f>
        <v>1.3860185315383677</v>
      </c>
      <c r="J53" s="133"/>
      <c r="K53" s="66"/>
      <c r="L53" s="66"/>
      <c r="M53" s="66"/>
      <c r="N53" s="66"/>
      <c r="O53" s="66"/>
    </row>
    <row r="54" spans="2:15" x14ac:dyDescent="0.55000000000000004">
      <c r="B54" s="66" t="s">
        <v>710</v>
      </c>
      <c r="C54" s="66"/>
      <c r="D54" s="133">
        <f>D47/(Master!J131*100)</f>
        <v>0.97341014100512357</v>
      </c>
      <c r="E54" s="133">
        <f>E47/(Master!K131*100)</f>
        <v>0.62463977758118794</v>
      </c>
      <c r="F54" s="133">
        <f>F47/(Master!L131*100)</f>
        <v>1.1986976566698191</v>
      </c>
      <c r="G54" s="133">
        <f>G47/(Master!M131*100)</f>
        <v>0.8894471618220543</v>
      </c>
      <c r="H54" s="133">
        <f>H47/(Master!N131*100)</f>
        <v>1.358036365224754</v>
      </c>
      <c r="I54" s="133">
        <f>I47/(Master!O131*100)</f>
        <v>1.5597778913416773</v>
      </c>
      <c r="J54" s="133"/>
      <c r="K54" s="66"/>
      <c r="L54" s="66"/>
      <c r="M54" s="66"/>
      <c r="N54" s="66"/>
      <c r="O54" s="66"/>
    </row>
    <row r="55" spans="2:15" x14ac:dyDescent="0.55000000000000004">
      <c r="B55" s="66"/>
      <c r="C55" s="66"/>
      <c r="D55" s="66"/>
      <c r="E55" s="66"/>
      <c r="F55" s="66"/>
      <c r="G55" s="66"/>
      <c r="H55" s="66"/>
      <c r="I55" s="66"/>
      <c r="J55" s="66"/>
      <c r="K55" s="66"/>
      <c r="L55" s="66"/>
      <c r="M55" s="66"/>
      <c r="N55" s="66"/>
      <c r="O55" s="66"/>
    </row>
    <row r="56" spans="2:15" x14ac:dyDescent="0.55000000000000004">
      <c r="B56" s="68" t="s">
        <v>614</v>
      </c>
      <c r="C56" s="68"/>
      <c r="D56" s="68">
        <f>Master!I2</f>
        <v>2024</v>
      </c>
      <c r="E56" s="68">
        <f>Master!J2</f>
        <v>2025</v>
      </c>
      <c r="F56" s="68">
        <f>Master!K2</f>
        <v>2026</v>
      </c>
      <c r="G56" s="68">
        <f>Master!L2</f>
        <v>2027</v>
      </c>
      <c r="H56" s="68">
        <f>Master!M2</f>
        <v>2028</v>
      </c>
      <c r="I56" s="68">
        <f>Master!N2</f>
        <v>2029</v>
      </c>
      <c r="J56" s="68">
        <f>Master!O2</f>
        <v>2030</v>
      </c>
      <c r="K56" s="66"/>
      <c r="L56" s="66"/>
      <c r="M56" s="66"/>
      <c r="N56" s="66"/>
      <c r="O56" s="66"/>
    </row>
    <row r="57" spans="2:15" x14ac:dyDescent="0.55000000000000004">
      <c r="B57" s="66"/>
      <c r="C57" s="66"/>
      <c r="D57" s="66"/>
      <c r="E57" s="66"/>
      <c r="F57" s="66"/>
      <c r="G57" s="66"/>
      <c r="H57" s="66"/>
      <c r="I57" s="66"/>
      <c r="J57" s="66"/>
      <c r="K57" s="66"/>
      <c r="L57" s="66"/>
      <c r="M57" s="66"/>
      <c r="N57" s="66"/>
      <c r="O57" s="66"/>
    </row>
    <row r="58" spans="2:15" x14ac:dyDescent="0.55000000000000004">
      <c r="B58" s="67" t="s">
        <v>156</v>
      </c>
      <c r="C58" s="66"/>
      <c r="D58" s="66"/>
      <c r="E58" s="66"/>
      <c r="F58" s="66"/>
      <c r="G58" s="66"/>
      <c r="H58" s="66"/>
      <c r="I58" s="66"/>
      <c r="J58" s="66"/>
      <c r="K58" s="66"/>
      <c r="L58" s="66"/>
      <c r="M58" s="66" t="s">
        <v>1021</v>
      </c>
      <c r="N58" s="134">
        <f>(D64-C64)/(D$67-C$67)</f>
        <v>0.41293436759340724</v>
      </c>
      <c r="O58" s="66"/>
    </row>
    <row r="59" spans="2:15" x14ac:dyDescent="0.55000000000000004">
      <c r="B59" s="66" t="s">
        <v>575</v>
      </c>
      <c r="C59" s="69">
        <f>Master!H229</f>
        <v>2478.1058349999998</v>
      </c>
      <c r="D59" s="69">
        <f>Master!I229</f>
        <v>2790.0380610055299</v>
      </c>
      <c r="E59" s="69">
        <f>Master!J229</f>
        <v>3050.8712440812815</v>
      </c>
      <c r="F59" s="69">
        <f>Master!K229</f>
        <v>3409.3093283671942</v>
      </c>
      <c r="G59" s="69">
        <f>Master!L229</f>
        <v>3694.8100620905025</v>
      </c>
      <c r="H59" s="69">
        <f>Master!M229</f>
        <v>3889.3232553024573</v>
      </c>
      <c r="I59" s="69">
        <f>Master!N229</f>
        <v>3988.9848475813583</v>
      </c>
      <c r="J59" s="69">
        <f>Master!O229</f>
        <v>4112.84589044321</v>
      </c>
      <c r="K59" s="134">
        <f t="shared" ref="K59:K67" si="7">(J59/D59)^(1/6)-1</f>
        <v>6.6814028871632125E-2</v>
      </c>
      <c r="L59" s="66"/>
      <c r="M59" s="66" t="str">
        <f>B59</f>
        <v>Payments / software</v>
      </c>
      <c r="N59" s="134">
        <f>(D59-C59)/(D$67-C$67)</f>
        <v>0.22400508987278758</v>
      </c>
      <c r="O59" s="66"/>
    </row>
    <row r="60" spans="2:15" x14ac:dyDescent="0.55000000000000004">
      <c r="B60" s="66" t="s">
        <v>1263</v>
      </c>
      <c r="C60" s="69">
        <f>Master!H263</f>
        <v>755.17099999999937</v>
      </c>
      <c r="D60" s="69">
        <f>Master!I263</f>
        <v>891.89099999999996</v>
      </c>
      <c r="E60" s="69">
        <f>Master!J263</f>
        <v>1114.86375</v>
      </c>
      <c r="F60" s="69">
        <f>Master!K263</f>
        <v>1427.0256000000004</v>
      </c>
      <c r="G60" s="69">
        <f>Master!L263</f>
        <v>1783.7820000000004</v>
      </c>
      <c r="H60" s="69">
        <f>Master!M263</f>
        <v>2140.5384000000004</v>
      </c>
      <c r="I60" s="69">
        <f>Master!N263</f>
        <v>2461.6191600000006</v>
      </c>
      <c r="J60" s="69">
        <f>Master!O263</f>
        <v>2830.8620339999998</v>
      </c>
      <c r="K60" s="134">
        <f t="shared" si="7"/>
        <v>0.21227501303340968</v>
      </c>
      <c r="L60" s="66"/>
      <c r="M60" s="66" t="str">
        <f>B60</f>
        <v>BNPL (Afterpay)</v>
      </c>
      <c r="N60" s="134">
        <f>(D60-C60)/(D$67-C$67)</f>
        <v>9.8181506539387495E-2</v>
      </c>
      <c r="O60" s="66"/>
    </row>
    <row r="61" spans="2:15" x14ac:dyDescent="0.55000000000000004">
      <c r="B61" s="183" t="s">
        <v>583</v>
      </c>
      <c r="C61" s="69">
        <f>Master!H260-C60-C64-C65</f>
        <v>1720.1870600000002</v>
      </c>
      <c r="D61" s="69">
        <f>Master!I260-D60-D64-D65</f>
        <v>1820.4914016</v>
      </c>
      <c r="E61" s="69">
        <f>Master!J260-E60-E64-E65</f>
        <v>1888.1968321799991</v>
      </c>
      <c r="F61" s="69">
        <f>Master!K260-F60-F64-F65</f>
        <v>1878.8691763799998</v>
      </c>
      <c r="G61" s="69">
        <f>Master!L260-G60-G64-G65</f>
        <v>1798.6373715870006</v>
      </c>
      <c r="H61" s="69">
        <f>Master!M260-H60-H64-H65</f>
        <v>1749.1573907545501</v>
      </c>
      <c r="I61" s="69">
        <f>Master!N260-I60-I64-I65</f>
        <v>1701.0722265407726</v>
      </c>
      <c r="J61" s="69">
        <f>Master!O260-J60-J64-J65</f>
        <v>1654.3418261032277</v>
      </c>
      <c r="K61" s="134">
        <f t="shared" si="7"/>
        <v>-1.5824001170908097E-2</v>
      </c>
      <c r="L61" s="66"/>
      <c r="M61" s="66" t="s">
        <v>1023</v>
      </c>
      <c r="N61" s="134">
        <f>(D63-C63)/(D$67-C$67)</f>
        <v>0.11679307876706732</v>
      </c>
      <c r="O61" s="66"/>
    </row>
    <row r="62" spans="2:15" x14ac:dyDescent="0.55000000000000004">
      <c r="B62" s="66" t="s">
        <v>582</v>
      </c>
      <c r="C62" s="69">
        <f>C63+C64</f>
        <v>2293.464105</v>
      </c>
      <c r="D62" s="69">
        <f>D63+D64</f>
        <v>3031.1217252500001</v>
      </c>
      <c r="E62" s="69">
        <f t="shared" ref="E62:J62" si="8">E63+E64</f>
        <v>3742.3272351850001</v>
      </c>
      <c r="F62" s="69">
        <f t="shared" si="8"/>
        <v>4415.9461375183</v>
      </c>
      <c r="G62" s="69">
        <f t="shared" si="8"/>
        <v>5187.4032138132434</v>
      </c>
      <c r="H62" s="69">
        <f t="shared" si="8"/>
        <v>5976.6487105058322</v>
      </c>
      <c r="I62" s="69">
        <f t="shared" si="8"/>
        <v>6663.1564959033276</v>
      </c>
      <c r="J62" s="69">
        <f t="shared" si="8"/>
        <v>7245.9610476098651</v>
      </c>
      <c r="K62" s="134">
        <f t="shared" si="7"/>
        <v>0.15633082476090721</v>
      </c>
      <c r="L62" s="66"/>
      <c r="M62" s="66" t="str">
        <f>B61</f>
        <v>Cash App core</v>
      </c>
      <c r="N62" s="134">
        <f>(D61-C61)/(D$67-C$67)</f>
        <v>7.2030656602759632E-2</v>
      </c>
      <c r="O62" s="66"/>
    </row>
    <row r="63" spans="2:15" x14ac:dyDescent="0.55000000000000004">
      <c r="B63" s="186" t="s">
        <v>577</v>
      </c>
      <c r="C63" s="195">
        <f>Master!H224</f>
        <v>650.54816500000004</v>
      </c>
      <c r="D63" s="195">
        <f>Master!I224</f>
        <v>813.18520625000008</v>
      </c>
      <c r="E63" s="195">
        <f>Master!J224</f>
        <v>992.08595162500012</v>
      </c>
      <c r="F63" s="195">
        <f>Master!K224</f>
        <v>1170.6614229175</v>
      </c>
      <c r="G63" s="195">
        <f>Master!L224</f>
        <v>1357.9672505842998</v>
      </c>
      <c r="H63" s="195">
        <f>Master!M224</f>
        <v>1534.5029931602587</v>
      </c>
      <c r="I63" s="195">
        <f>Master!N224</f>
        <v>1687.9532924762848</v>
      </c>
      <c r="J63" s="195">
        <f>Master!O224</f>
        <v>1822.9895558743876</v>
      </c>
      <c r="K63" s="134">
        <f t="shared" si="7"/>
        <v>0.14401693099354129</v>
      </c>
      <c r="L63" s="66"/>
      <c r="M63" s="66" t="str">
        <f>B65</f>
        <v>Bitcoin</v>
      </c>
      <c r="N63" s="134">
        <f>(D65-C65)/(D$67-C$67)</f>
        <v>6.6553841342680928E-2</v>
      </c>
      <c r="O63" s="66"/>
    </row>
    <row r="64" spans="2:15" x14ac:dyDescent="0.55000000000000004">
      <c r="B64" s="186" t="s">
        <v>578</v>
      </c>
      <c r="C64" s="195">
        <f>Master!H292</f>
        <v>1642.9159399999999</v>
      </c>
      <c r="D64" s="195">
        <f>Master!I292</f>
        <v>2217.9365189999999</v>
      </c>
      <c r="E64" s="195">
        <f>Master!J292</f>
        <v>2750.2412835599998</v>
      </c>
      <c r="F64" s="195">
        <f>Master!K292</f>
        <v>3245.2847146007998</v>
      </c>
      <c r="G64" s="195">
        <f>Master!L292</f>
        <v>3829.4359632289434</v>
      </c>
      <c r="H64" s="195">
        <f>Master!M292</f>
        <v>4442.1457173455738</v>
      </c>
      <c r="I64" s="195">
        <f>Master!N292</f>
        <v>4975.2032034270433</v>
      </c>
      <c r="J64" s="195">
        <f>Master!O292</f>
        <v>5422.9714917354777</v>
      </c>
      <c r="K64" s="134">
        <f t="shared" si="7"/>
        <v>0.16068588111514015</v>
      </c>
      <c r="L64" s="66"/>
      <c r="M64" s="66" t="str">
        <f>B66</f>
        <v>Central</v>
      </c>
      <c r="N64" s="134">
        <f>(D66-C66)/(D$67-C$67)</f>
        <v>9.5014592819092341E-3</v>
      </c>
      <c r="O64" s="66"/>
    </row>
    <row r="65" spans="2:15" x14ac:dyDescent="0.55000000000000004">
      <c r="B65" s="66" t="s">
        <v>390</v>
      </c>
      <c r="C65" s="69">
        <f>Master!H282</f>
        <v>205.18900000000031</v>
      </c>
      <c r="D65" s="69">
        <f>Master!I282</f>
        <v>297.86675072000003</v>
      </c>
      <c r="E65" s="69">
        <f>Master!J282</f>
        <v>301.59008510400002</v>
      </c>
      <c r="F65" s="69">
        <f>Master!K282</f>
        <v>304.94108604960007</v>
      </c>
      <c r="G65" s="69">
        <f>Master!L282</f>
        <v>307.87321187700007</v>
      </c>
      <c r="H65" s="69">
        <f>Master!M282</f>
        <v>310.33619757201603</v>
      </c>
      <c r="I65" s="69">
        <f>Master!N282</f>
        <v>312.27579880684112</v>
      </c>
      <c r="J65" s="69">
        <f>Master!O282</f>
        <v>313.63351967121872</v>
      </c>
      <c r="K65" s="134">
        <f t="shared" si="7"/>
        <v>8.6335439439908512E-3</v>
      </c>
      <c r="L65" s="66"/>
      <c r="M65" s="66"/>
      <c r="N65" s="66"/>
      <c r="O65" s="66"/>
    </row>
    <row r="66" spans="2:15" x14ac:dyDescent="0.55000000000000004">
      <c r="B66" s="87" t="s">
        <v>605</v>
      </c>
      <c r="C66" s="88">
        <f>Master!H31</f>
        <v>52.768999999999998</v>
      </c>
      <c r="D66" s="88">
        <f>Master!I31</f>
        <v>66</v>
      </c>
      <c r="E66" s="88">
        <f>Master!J31</f>
        <v>67.649999999999991</v>
      </c>
      <c r="F66" s="88">
        <f>Master!K31</f>
        <v>69.341249999999988</v>
      </c>
      <c r="G66" s="88">
        <f>Master!L31</f>
        <v>71.074781249999972</v>
      </c>
      <c r="H66" s="88">
        <f>Master!M31</f>
        <v>72.851650781249973</v>
      </c>
      <c r="I66" s="88">
        <f>Master!N31</f>
        <v>74.672942050781216</v>
      </c>
      <c r="J66" s="88">
        <f>Master!O31</f>
        <v>76.539765602050736</v>
      </c>
      <c r="K66" s="210">
        <f t="shared" si="7"/>
        <v>2.4999999999999911E-2</v>
      </c>
      <c r="L66" s="66"/>
      <c r="M66" s="66"/>
      <c r="N66" s="66"/>
      <c r="O66" s="66"/>
    </row>
    <row r="67" spans="2:15" x14ac:dyDescent="0.55000000000000004">
      <c r="B67" s="67" t="s">
        <v>184</v>
      </c>
      <c r="C67" s="86">
        <f>C59+C60+C61+C62+C65+C66</f>
        <v>7504.8859999999995</v>
      </c>
      <c r="D67" s="86">
        <f>D59+D60+D61+D62+D65+D66</f>
        <v>8897.4089385755306</v>
      </c>
      <c r="E67" s="86">
        <f t="shared" ref="E67:J67" si="9">E59+E60+E61+E62+E65+E66</f>
        <v>10165.499146550283</v>
      </c>
      <c r="F67" s="86">
        <f t="shared" si="9"/>
        <v>11505.432578315094</v>
      </c>
      <c r="G67" s="86">
        <f t="shared" si="9"/>
        <v>12843.580640617747</v>
      </c>
      <c r="H67" s="86">
        <f t="shared" si="9"/>
        <v>14138.855604916105</v>
      </c>
      <c r="I67" s="86">
        <f t="shared" si="9"/>
        <v>15201.781470883081</v>
      </c>
      <c r="J67" s="86">
        <f t="shared" si="9"/>
        <v>16234.184083429571</v>
      </c>
      <c r="K67" s="180">
        <f t="shared" si="7"/>
        <v>0.10542127570852444</v>
      </c>
      <c r="L67" s="66"/>
      <c r="M67" s="66"/>
      <c r="N67" s="66"/>
      <c r="O67" s="66"/>
    </row>
    <row r="68" spans="2:15" x14ac:dyDescent="0.55000000000000004">
      <c r="B68" s="66"/>
      <c r="C68" s="66"/>
      <c r="D68" s="66"/>
      <c r="E68" s="66"/>
      <c r="F68" s="66"/>
      <c r="G68" s="66"/>
      <c r="H68" s="66"/>
      <c r="I68" s="66"/>
      <c r="J68" s="66"/>
      <c r="K68" s="66"/>
      <c r="L68" s="66"/>
      <c r="M68" s="66"/>
      <c r="N68" s="66"/>
      <c r="O68" s="66"/>
    </row>
    <row r="69" spans="2:15" x14ac:dyDescent="0.55000000000000004">
      <c r="B69" s="66" t="s">
        <v>642</v>
      </c>
      <c r="C69" s="66"/>
      <c r="D69" s="213">
        <f>0.08%*Master!I211*1000</f>
        <v>184.45079721552</v>
      </c>
      <c r="E69" s="213">
        <f>0.08%*Master!J211*1000</f>
        <v>204.74038490922723</v>
      </c>
      <c r="F69" s="213">
        <f>0.08%*Master!K211*1000</f>
        <v>233.40403879651905</v>
      </c>
      <c r="G69" s="213">
        <f>0.08%*Master!L211*1000</f>
        <v>261.41252345210131</v>
      </c>
      <c r="H69" s="213">
        <f>0.08%*Master!M211*1000</f>
        <v>284.93965056279052</v>
      </c>
      <c r="I69" s="213">
        <f>0.08%*Master!N211*1000</f>
        <v>307.73482260781378</v>
      </c>
      <c r="J69" s="213">
        <f>0.08%*Master!O211*1000</f>
        <v>332.35360841643893</v>
      </c>
      <c r="K69" s="66"/>
      <c r="L69" s="66"/>
      <c r="M69" s="66"/>
      <c r="N69" s="66"/>
      <c r="O69" s="66"/>
    </row>
    <row r="70" spans="2:15" x14ac:dyDescent="0.55000000000000004">
      <c r="B70" s="66" t="s">
        <v>172</v>
      </c>
      <c r="C70" s="66"/>
      <c r="D70" s="140">
        <f>BNPL!E54</f>
        <v>280.78050000000002</v>
      </c>
      <c r="E70" s="140">
        <f>BNPL!F54</f>
        <v>350.97562500000009</v>
      </c>
      <c r="F70" s="140">
        <f>BNPL!G54</f>
        <v>449.24880000000013</v>
      </c>
      <c r="G70" s="140">
        <f>BNPL!H54</f>
        <v>561.56100000000015</v>
      </c>
      <c r="H70" s="140">
        <f>BNPL!I54</f>
        <v>673.87320000000011</v>
      </c>
      <c r="I70" s="140">
        <f>BNPL!J54</f>
        <v>774.95418000000018</v>
      </c>
      <c r="J70" s="140">
        <f>BNPL!K54</f>
        <v>891.19730700000014</v>
      </c>
      <c r="K70" s="66"/>
      <c r="L70" s="66"/>
      <c r="M70" s="66"/>
      <c r="N70" s="66"/>
      <c r="O70" s="66"/>
    </row>
    <row r="71" spans="2:15" x14ac:dyDescent="0.55000000000000004">
      <c r="B71" s="66" t="s">
        <v>730</v>
      </c>
      <c r="C71" s="66"/>
      <c r="D71" s="69">
        <f>(D73-D69-D70)*D63/D64</f>
        <v>115.40693356284575</v>
      </c>
      <c r="E71" s="69">
        <f t="shared" ref="E71:J71" si="10">(E73-E69-E70)*E63/E64</f>
        <v>118.66066000266913</v>
      </c>
      <c r="F71" s="69">
        <f t="shared" si="10"/>
        <v>114.53670256543985</v>
      </c>
      <c r="G71" s="69">
        <f t="shared" si="10"/>
        <v>104.20894272035977</v>
      </c>
      <c r="H71" s="69">
        <f t="shared" si="10"/>
        <v>92.117377959342718</v>
      </c>
      <c r="I71" s="69">
        <f t="shared" si="10"/>
        <v>77.912706986366643</v>
      </c>
      <c r="J71" s="69">
        <f t="shared" si="10"/>
        <v>58.650161542818346</v>
      </c>
      <c r="K71" s="66"/>
      <c r="L71" s="66"/>
      <c r="M71" s="66"/>
      <c r="N71" s="66"/>
      <c r="O71" s="66"/>
    </row>
    <row r="72" spans="2:15" x14ac:dyDescent="0.55000000000000004">
      <c r="B72" s="87" t="s">
        <v>731</v>
      </c>
      <c r="C72" s="87"/>
      <c r="D72" s="88">
        <f>D73-D69-D70-D71</f>
        <v>199.36176922163426</v>
      </c>
      <c r="E72" s="88">
        <f t="shared" ref="E72:J72" si="11">E73-E69-E70-E71</f>
        <v>210.28810228881952</v>
      </c>
      <c r="F72" s="88">
        <f t="shared" si="11"/>
        <v>202.97970552636014</v>
      </c>
      <c r="G72" s="88">
        <f t="shared" si="11"/>
        <v>189.65784439965685</v>
      </c>
      <c r="H72" s="88">
        <f t="shared" si="11"/>
        <v>174.54799696603703</v>
      </c>
      <c r="I72" s="88">
        <f t="shared" si="11"/>
        <v>151.73319086758124</v>
      </c>
      <c r="J72" s="88">
        <f t="shared" si="11"/>
        <v>115.82047818601399</v>
      </c>
      <c r="K72" s="66"/>
      <c r="L72" s="66"/>
      <c r="M72" s="66"/>
      <c r="N72" s="66"/>
      <c r="O72" s="66"/>
    </row>
    <row r="73" spans="2:15" x14ac:dyDescent="0.55000000000000004">
      <c r="B73" s="67" t="s">
        <v>640</v>
      </c>
      <c r="C73" s="66"/>
      <c r="D73" s="86">
        <f>Master!I68</f>
        <v>780</v>
      </c>
      <c r="E73" s="86">
        <f>Master!J68</f>
        <v>884.66477220071602</v>
      </c>
      <c r="F73" s="86">
        <f>Master!K68</f>
        <v>1000.1692468883191</v>
      </c>
      <c r="G73" s="86">
        <f>Master!L68</f>
        <v>1116.8403105721181</v>
      </c>
      <c r="H73" s="86">
        <f>Master!M68</f>
        <v>1225.4782254881704</v>
      </c>
      <c r="I73" s="86">
        <f>Master!N68</f>
        <v>1312.3349004617619</v>
      </c>
      <c r="J73" s="86">
        <f>Master!O68</f>
        <v>1398.0215551452713</v>
      </c>
      <c r="K73" s="66"/>
      <c r="L73" s="66"/>
      <c r="M73" s="66"/>
      <c r="N73" s="66"/>
      <c r="O73" s="66"/>
    </row>
    <row r="74" spans="2:15" x14ac:dyDescent="0.55000000000000004">
      <c r="B74" s="67"/>
      <c r="C74" s="66"/>
      <c r="D74" s="86"/>
      <c r="E74" s="86"/>
      <c r="F74" s="86"/>
      <c r="G74" s="86"/>
      <c r="H74" s="86"/>
      <c r="I74" s="86"/>
      <c r="J74" s="86"/>
      <c r="K74" s="66"/>
      <c r="L74" s="66"/>
      <c r="M74" s="66"/>
      <c r="N74" s="66"/>
      <c r="O74" s="66"/>
    </row>
    <row r="75" spans="2:15" x14ac:dyDescent="0.55000000000000004">
      <c r="B75" s="66"/>
      <c r="C75" s="66"/>
      <c r="D75" s="66"/>
      <c r="E75" s="66"/>
      <c r="F75" s="66"/>
      <c r="G75" s="66"/>
      <c r="H75" s="66"/>
      <c r="I75" s="66"/>
      <c r="J75" s="66"/>
      <c r="K75" s="66"/>
      <c r="L75" s="66"/>
      <c r="M75" s="66"/>
      <c r="N75" s="66"/>
      <c r="O75" s="66"/>
    </row>
    <row r="76" spans="2:15" x14ac:dyDescent="0.55000000000000004">
      <c r="B76" s="66" t="s">
        <v>650</v>
      </c>
      <c r="C76" s="66"/>
      <c r="D76" s="66"/>
      <c r="E76" s="66"/>
      <c r="F76" s="66"/>
      <c r="G76" s="66"/>
      <c r="H76" s="66"/>
      <c r="I76" s="66"/>
      <c r="J76" s="66"/>
      <c r="K76" s="66"/>
      <c r="L76" s="66"/>
      <c r="M76" s="66"/>
      <c r="N76" s="66"/>
      <c r="O76" s="66"/>
    </row>
    <row r="77" spans="2:15" x14ac:dyDescent="0.55000000000000004">
      <c r="B77" s="66" t="str">
        <f>B59</f>
        <v>Payments / software</v>
      </c>
      <c r="C77" s="66"/>
      <c r="D77" s="69">
        <f t="shared" ref="D77:J78" si="12">D59-D69</f>
        <v>2605.5872637900097</v>
      </c>
      <c r="E77" s="69">
        <f t="shared" si="12"/>
        <v>2846.1308591720544</v>
      </c>
      <c r="F77" s="69">
        <f t="shared" si="12"/>
        <v>3175.905289570675</v>
      </c>
      <c r="G77" s="69">
        <f t="shared" si="12"/>
        <v>3433.3975386384013</v>
      </c>
      <c r="H77" s="69">
        <f t="shared" si="12"/>
        <v>3604.3836047396667</v>
      </c>
      <c r="I77" s="69">
        <f t="shared" si="12"/>
        <v>3681.2500249735444</v>
      </c>
      <c r="J77" s="69">
        <f t="shared" si="12"/>
        <v>3780.4922820267711</v>
      </c>
      <c r="K77" s="134">
        <f t="shared" ref="K77:K85" si="13">(J77/D77)^(1/6)-1</f>
        <v>6.3997127562428258E-2</v>
      </c>
      <c r="L77" s="66"/>
      <c r="M77" s="66"/>
      <c r="N77" s="66"/>
      <c r="O77" s="66"/>
    </row>
    <row r="78" spans="2:15" x14ac:dyDescent="0.55000000000000004">
      <c r="B78" s="66" t="str">
        <f>B60</f>
        <v>BNPL (Afterpay)</v>
      </c>
      <c r="C78" s="66"/>
      <c r="D78" s="69">
        <f t="shared" si="12"/>
        <v>611.1105</v>
      </c>
      <c r="E78" s="69">
        <f t="shared" si="12"/>
        <v>763.88812499999995</v>
      </c>
      <c r="F78" s="69">
        <f t="shared" si="12"/>
        <v>977.77680000000032</v>
      </c>
      <c r="G78" s="69">
        <f t="shared" si="12"/>
        <v>1222.2210000000002</v>
      </c>
      <c r="H78" s="69">
        <f t="shared" si="12"/>
        <v>1466.6652000000004</v>
      </c>
      <c r="I78" s="69">
        <f t="shared" si="12"/>
        <v>1686.6649800000005</v>
      </c>
      <c r="J78" s="69">
        <f t="shared" si="12"/>
        <v>1939.6647269999996</v>
      </c>
      <c r="K78" s="134">
        <f t="shared" si="13"/>
        <v>0.21227501303340968</v>
      </c>
      <c r="L78" s="66"/>
      <c r="M78" s="66"/>
      <c r="N78" s="66"/>
      <c r="O78" s="66"/>
    </row>
    <row r="79" spans="2:15" x14ac:dyDescent="0.55000000000000004">
      <c r="B79" s="66" t="s">
        <v>583</v>
      </c>
      <c r="C79" s="66"/>
      <c r="D79" s="69">
        <f>D61</f>
        <v>1820.4914016</v>
      </c>
      <c r="E79" s="69">
        <f t="shared" ref="E79:J79" si="14">E61</f>
        <v>1888.1968321799991</v>
      </c>
      <c r="F79" s="69">
        <f t="shared" si="14"/>
        <v>1878.8691763799998</v>
      </c>
      <c r="G79" s="69">
        <f t="shared" si="14"/>
        <v>1798.6373715870006</v>
      </c>
      <c r="H79" s="69">
        <f t="shared" si="14"/>
        <v>1749.1573907545501</v>
      </c>
      <c r="I79" s="69">
        <f t="shared" si="14"/>
        <v>1701.0722265407726</v>
      </c>
      <c r="J79" s="69">
        <f t="shared" si="14"/>
        <v>1654.3418261032277</v>
      </c>
      <c r="K79" s="134">
        <f t="shared" si="13"/>
        <v>-1.5824001170908097E-2</v>
      </c>
      <c r="L79" s="66"/>
      <c r="M79" s="66"/>
      <c r="N79" s="66"/>
      <c r="O79" s="66"/>
    </row>
    <row r="80" spans="2:15" x14ac:dyDescent="0.55000000000000004">
      <c r="B80" s="66" t="s">
        <v>641</v>
      </c>
      <c r="C80" s="66"/>
      <c r="D80" s="69">
        <f>D81+D82</f>
        <v>2716.3530224655201</v>
      </c>
      <c r="E80" s="69">
        <f t="shared" ref="E80:J80" si="15">E81+E82</f>
        <v>3413.3784728935111</v>
      </c>
      <c r="F80" s="69">
        <f t="shared" si="15"/>
        <v>4098.4297294264998</v>
      </c>
      <c r="G80" s="69">
        <f t="shared" si="15"/>
        <v>4893.5364266932265</v>
      </c>
      <c r="H80" s="69">
        <f t="shared" si="15"/>
        <v>5709.9833355804521</v>
      </c>
      <c r="I80" s="69">
        <f t="shared" si="15"/>
        <v>6433.51059804938</v>
      </c>
      <c r="J80" s="69">
        <f t="shared" si="15"/>
        <v>7071.4904078810332</v>
      </c>
      <c r="K80" s="134">
        <f t="shared" si="13"/>
        <v>0.17288146787515335</v>
      </c>
      <c r="L80" s="66"/>
      <c r="M80" s="66"/>
      <c r="N80" s="66"/>
      <c r="O80" s="66"/>
    </row>
    <row r="81" spans="2:15" x14ac:dyDescent="0.55000000000000004">
      <c r="B81" s="187" t="str">
        <f>B71</f>
        <v>Fin services Square</v>
      </c>
      <c r="C81" s="187"/>
      <c r="D81" s="195">
        <f>D63-D71</f>
        <v>697.7782726871543</v>
      </c>
      <c r="E81" s="195">
        <f t="shared" ref="E81:J81" si="16">E63-E71</f>
        <v>873.42529162233097</v>
      </c>
      <c r="F81" s="195">
        <f t="shared" si="16"/>
        <v>1056.1247203520602</v>
      </c>
      <c r="G81" s="195">
        <f t="shared" si="16"/>
        <v>1253.75830786394</v>
      </c>
      <c r="H81" s="195">
        <f t="shared" si="16"/>
        <v>1442.3856152009159</v>
      </c>
      <c r="I81" s="195">
        <f t="shared" si="16"/>
        <v>1610.0405854899182</v>
      </c>
      <c r="J81" s="195">
        <f t="shared" si="16"/>
        <v>1764.3393943315693</v>
      </c>
      <c r="K81" s="134">
        <f t="shared" si="13"/>
        <v>0.16719687146571438</v>
      </c>
      <c r="L81" s="66"/>
      <c r="M81" s="66"/>
      <c r="N81" s="66"/>
      <c r="O81" s="66"/>
    </row>
    <row r="82" spans="2:15" x14ac:dyDescent="0.55000000000000004">
      <c r="B82" s="187" t="str">
        <f>B72</f>
        <v>Fin services Cash App (ex BNPL)</v>
      </c>
      <c r="C82" s="187"/>
      <c r="D82" s="195">
        <f>D64-D72</f>
        <v>2018.5747497783657</v>
      </c>
      <c r="E82" s="195">
        <f t="shared" ref="E82:J82" si="17">E64-E72</f>
        <v>2539.9531812711803</v>
      </c>
      <c r="F82" s="195">
        <f t="shared" si="17"/>
        <v>3042.3050090744396</v>
      </c>
      <c r="G82" s="195">
        <f t="shared" si="17"/>
        <v>3639.7781188292865</v>
      </c>
      <c r="H82" s="195">
        <f t="shared" si="17"/>
        <v>4267.5977203795364</v>
      </c>
      <c r="I82" s="195">
        <f t="shared" si="17"/>
        <v>4823.4700125594618</v>
      </c>
      <c r="J82" s="195">
        <f t="shared" si="17"/>
        <v>5307.1510135494636</v>
      </c>
      <c r="K82" s="134">
        <f t="shared" si="13"/>
        <v>0.17481486992176332</v>
      </c>
      <c r="L82" s="66"/>
      <c r="M82" s="66"/>
      <c r="N82" s="66"/>
      <c r="O82" s="66"/>
    </row>
    <row r="83" spans="2:15" x14ac:dyDescent="0.55000000000000004">
      <c r="B83" s="66" t="str">
        <f>B65</f>
        <v>Bitcoin</v>
      </c>
      <c r="C83" s="66"/>
      <c r="D83" s="69">
        <f>D65</f>
        <v>297.86675072000003</v>
      </c>
      <c r="E83" s="69">
        <f t="shared" ref="E83:J83" si="18">E65</f>
        <v>301.59008510400002</v>
      </c>
      <c r="F83" s="69">
        <f t="shared" si="18"/>
        <v>304.94108604960007</v>
      </c>
      <c r="G83" s="69">
        <f t="shared" si="18"/>
        <v>307.87321187700007</v>
      </c>
      <c r="H83" s="69">
        <f t="shared" si="18"/>
        <v>310.33619757201603</v>
      </c>
      <c r="I83" s="69">
        <f t="shared" si="18"/>
        <v>312.27579880684112</v>
      </c>
      <c r="J83" s="69">
        <f t="shared" si="18"/>
        <v>313.63351967121872</v>
      </c>
      <c r="K83" s="134">
        <f t="shared" si="13"/>
        <v>8.6335439439908512E-3</v>
      </c>
      <c r="L83" s="66"/>
      <c r="M83" s="66"/>
      <c r="N83" s="66"/>
      <c r="O83" s="66"/>
    </row>
    <row r="84" spans="2:15" x14ac:dyDescent="0.55000000000000004">
      <c r="B84" s="87" t="str">
        <f>B66</f>
        <v>Central</v>
      </c>
      <c r="C84" s="87"/>
      <c r="D84" s="88">
        <f t="shared" ref="D84:J84" si="19">D66</f>
        <v>66</v>
      </c>
      <c r="E84" s="88">
        <f t="shared" si="19"/>
        <v>67.649999999999991</v>
      </c>
      <c r="F84" s="88">
        <f t="shared" si="19"/>
        <v>69.341249999999988</v>
      </c>
      <c r="G84" s="88">
        <f t="shared" si="19"/>
        <v>71.074781249999972</v>
      </c>
      <c r="H84" s="88">
        <f t="shared" si="19"/>
        <v>72.851650781249973</v>
      </c>
      <c r="I84" s="88">
        <f t="shared" si="19"/>
        <v>74.672942050781216</v>
      </c>
      <c r="J84" s="88">
        <f t="shared" si="19"/>
        <v>76.539765602050736</v>
      </c>
      <c r="K84" s="210">
        <f t="shared" si="13"/>
        <v>2.4999999999999911E-2</v>
      </c>
      <c r="L84" s="66"/>
      <c r="M84" s="66"/>
      <c r="N84" s="66"/>
      <c r="O84" s="66"/>
    </row>
    <row r="85" spans="2:15" x14ac:dyDescent="0.55000000000000004">
      <c r="B85" s="67" t="s">
        <v>651</v>
      </c>
      <c r="C85" s="67"/>
      <c r="D85" s="86">
        <f>D77+D78+D79+D80+D83+D84</f>
        <v>8117.4089385755296</v>
      </c>
      <c r="E85" s="86">
        <f t="shared" ref="E85:J85" si="20">E77+E78+E79+E80+E83+E84</f>
        <v>9280.8343743495643</v>
      </c>
      <c r="F85" s="86">
        <f t="shared" si="20"/>
        <v>10505.263331426775</v>
      </c>
      <c r="G85" s="86">
        <f t="shared" si="20"/>
        <v>11726.740330045628</v>
      </c>
      <c r="H85" s="86">
        <f t="shared" si="20"/>
        <v>12913.377379427935</v>
      </c>
      <c r="I85" s="86">
        <f t="shared" si="20"/>
        <v>13889.44657042132</v>
      </c>
      <c r="J85" s="86">
        <f t="shared" si="20"/>
        <v>14836.1625282843</v>
      </c>
      <c r="K85" s="180">
        <f t="shared" si="13"/>
        <v>0.10573407380321642</v>
      </c>
      <c r="L85" s="66"/>
      <c r="M85" s="66"/>
      <c r="N85" s="66"/>
      <c r="O85" s="66"/>
    </row>
    <row r="86" spans="2:15" x14ac:dyDescent="0.55000000000000004">
      <c r="B86" s="66"/>
      <c r="C86" s="66"/>
      <c r="D86" s="134"/>
      <c r="E86" s="66"/>
      <c r="F86" s="66"/>
      <c r="G86" s="66"/>
      <c r="H86" s="66"/>
      <c r="I86" s="66"/>
      <c r="J86" s="66"/>
      <c r="K86" s="66"/>
      <c r="L86" s="66"/>
      <c r="M86" s="66"/>
      <c r="N86" s="66"/>
      <c r="O86" s="66"/>
    </row>
    <row r="87" spans="2:15" x14ac:dyDescent="0.55000000000000004">
      <c r="B87" s="67" t="s">
        <v>837</v>
      </c>
      <c r="C87" s="66"/>
      <c r="D87" s="66"/>
      <c r="E87" s="66"/>
      <c r="F87" s="66"/>
      <c r="G87" s="66"/>
      <c r="H87" s="66"/>
      <c r="I87" s="66"/>
      <c r="J87" s="66"/>
      <c r="K87" s="66"/>
      <c r="L87" s="66"/>
      <c r="M87" s="66"/>
      <c r="N87" s="66"/>
      <c r="O87" s="66"/>
    </row>
    <row r="88" spans="2:15" x14ac:dyDescent="0.55000000000000004">
      <c r="B88" s="66" t="str">
        <f>B59</f>
        <v>Payments / software</v>
      </c>
      <c r="C88" s="66"/>
      <c r="D88" s="134">
        <f t="shared" ref="D88:J91" si="21">D59/D$67</f>
        <v>0.31357871491205319</v>
      </c>
      <c r="E88" s="134">
        <f t="shared" si="21"/>
        <v>0.30012016135150738</v>
      </c>
      <c r="F88" s="134">
        <f t="shared" si="21"/>
        <v>0.29632169891577154</v>
      </c>
      <c r="G88" s="134">
        <f t="shared" si="21"/>
        <v>0.28767756947822537</v>
      </c>
      <c r="H88" s="134">
        <f t="shared" si="21"/>
        <v>0.2750804848696618</v>
      </c>
      <c r="I88" s="134">
        <f t="shared" si="21"/>
        <v>0.26240245955526392</v>
      </c>
      <c r="J88" s="134">
        <f t="shared" si="21"/>
        <v>0.25334478587323905</v>
      </c>
      <c r="K88" s="66"/>
      <c r="L88" s="66"/>
      <c r="M88" s="66"/>
      <c r="N88" s="66"/>
      <c r="O88" s="66"/>
    </row>
    <row r="89" spans="2:15" x14ac:dyDescent="0.55000000000000004">
      <c r="B89" s="66" t="str">
        <f>B60</f>
        <v>BNPL (Afterpay)</v>
      </c>
      <c r="C89" s="66"/>
      <c r="D89" s="134">
        <f t="shared" si="21"/>
        <v>0.10024165531305693</v>
      </c>
      <c r="E89" s="134">
        <f t="shared" si="21"/>
        <v>0.10967132394854757</v>
      </c>
      <c r="F89" s="134">
        <f t="shared" si="21"/>
        <v>0.12403059079148332</v>
      </c>
      <c r="G89" s="134">
        <f t="shared" si="21"/>
        <v>0.13888510143026631</v>
      </c>
      <c r="H89" s="134">
        <f t="shared" si="21"/>
        <v>0.15139403497803114</v>
      </c>
      <c r="I89" s="134">
        <f t="shared" si="21"/>
        <v>0.16192965046332847</v>
      </c>
      <c r="J89" s="134">
        <f t="shared" si="21"/>
        <v>0.17437661292072543</v>
      </c>
      <c r="K89" s="66"/>
      <c r="L89" s="66"/>
      <c r="M89" s="66"/>
      <c r="N89" s="66"/>
      <c r="O89" s="66"/>
    </row>
    <row r="90" spans="2:15" x14ac:dyDescent="0.55000000000000004">
      <c r="B90" s="66" t="str">
        <f>B61</f>
        <v>Cash App core</v>
      </c>
      <c r="C90" s="66"/>
      <c r="D90" s="134">
        <f t="shared" si="21"/>
        <v>0.20460916365292517</v>
      </c>
      <c r="E90" s="134">
        <f t="shared" si="21"/>
        <v>0.18574560923757186</v>
      </c>
      <c r="F90" s="134">
        <f t="shared" si="21"/>
        <v>0.16330278445342467</v>
      </c>
      <c r="G90" s="134">
        <f t="shared" si="21"/>
        <v>0.1400417392871596</v>
      </c>
      <c r="H90" s="134">
        <f t="shared" si="21"/>
        <v>0.1237127982371052</v>
      </c>
      <c r="I90" s="134">
        <f t="shared" si="21"/>
        <v>0.11189953163048305</v>
      </c>
      <c r="J90" s="134">
        <f t="shared" si="21"/>
        <v>0.10190483350449589</v>
      </c>
      <c r="K90" s="66"/>
      <c r="L90" s="66"/>
      <c r="M90" s="66"/>
      <c r="N90" s="66"/>
      <c r="O90" s="66"/>
    </row>
    <row r="91" spans="2:15" x14ac:dyDescent="0.55000000000000004">
      <c r="B91" s="66" t="str">
        <f>B62</f>
        <v>Fin Services (ex BNPL)</v>
      </c>
      <c r="C91" s="66"/>
      <c r="D91" s="134">
        <f t="shared" si="21"/>
        <v>0.34067465552901527</v>
      </c>
      <c r="E91" s="134">
        <f t="shared" si="21"/>
        <v>0.36814003731975908</v>
      </c>
      <c r="F91" s="134">
        <f t="shared" si="21"/>
        <v>0.38381400329451937</v>
      </c>
      <c r="G91" s="134">
        <f t="shared" si="21"/>
        <v>0.40389073413126803</v>
      </c>
      <c r="H91" s="134">
        <f t="shared" si="21"/>
        <v>0.42271092353667866</v>
      </c>
      <c r="I91" s="134">
        <f t="shared" si="21"/>
        <v>0.43831418762765972</v>
      </c>
      <c r="J91" s="134">
        <f t="shared" si="21"/>
        <v>0.44633971195422784</v>
      </c>
      <c r="K91" s="66"/>
      <c r="L91" s="66"/>
      <c r="M91" s="66"/>
      <c r="N91" s="66"/>
      <c r="O91" s="66"/>
    </row>
    <row r="92" spans="2:15" x14ac:dyDescent="0.55000000000000004">
      <c r="B92" s="66" t="str">
        <f>B65</f>
        <v>Bitcoin</v>
      </c>
      <c r="C92" s="66"/>
      <c r="D92" s="134">
        <f t="shared" ref="D92:J92" si="22">D65/D$67</f>
        <v>3.3477920681893293E-2</v>
      </c>
      <c r="E92" s="134">
        <f t="shared" si="22"/>
        <v>2.9668005550553437E-2</v>
      </c>
      <c r="F92" s="134">
        <f t="shared" si="22"/>
        <v>2.650409569339782E-2</v>
      </c>
      <c r="G92" s="134">
        <f t="shared" si="22"/>
        <v>2.3970979782954985E-2</v>
      </c>
      <c r="H92" s="134">
        <f t="shared" si="22"/>
        <v>2.194917369862039E-2</v>
      </c>
      <c r="I92" s="134">
        <f t="shared" si="22"/>
        <v>2.0542052877484288E-2</v>
      </c>
      <c r="J92" s="134">
        <f t="shared" si="22"/>
        <v>1.9319327541157321E-2</v>
      </c>
      <c r="K92" s="66"/>
      <c r="L92" s="66"/>
      <c r="M92" s="66"/>
      <c r="N92" s="66"/>
      <c r="O92" s="66"/>
    </row>
    <row r="93" spans="2:15" x14ac:dyDescent="0.55000000000000004">
      <c r="B93" s="66"/>
      <c r="C93" s="66"/>
      <c r="D93" s="66"/>
      <c r="E93" s="66"/>
      <c r="F93" s="66"/>
      <c r="G93" s="66"/>
      <c r="H93" s="66"/>
      <c r="I93" s="66"/>
      <c r="J93" s="66"/>
      <c r="K93" s="66"/>
      <c r="L93" s="66"/>
      <c r="M93" s="66"/>
      <c r="N93" s="66"/>
      <c r="O93" s="66"/>
    </row>
    <row r="94" spans="2:15" x14ac:dyDescent="0.55000000000000004">
      <c r="B94" s="67" t="s">
        <v>603</v>
      </c>
      <c r="C94" s="66"/>
      <c r="D94" s="66"/>
      <c r="E94" s="66"/>
      <c r="F94" s="66"/>
      <c r="G94" s="66"/>
      <c r="H94" s="66"/>
      <c r="I94" s="66"/>
      <c r="J94" s="66"/>
      <c r="K94" s="66"/>
      <c r="L94" s="66"/>
      <c r="M94" s="66"/>
      <c r="N94" s="66"/>
      <c r="O94" s="66"/>
    </row>
    <row r="95" spans="2:15" x14ac:dyDescent="0.55000000000000004">
      <c r="B95" s="66" t="str">
        <f>B88</f>
        <v>Payments / software</v>
      </c>
      <c r="C95" s="66"/>
      <c r="D95" s="69">
        <f t="shared" ref="D95:J98" si="23">D59-D116</f>
        <v>1953.0266427038709</v>
      </c>
      <c r="E95" s="69">
        <f t="shared" si="23"/>
        <v>2135.609870856897</v>
      </c>
      <c r="F95" s="69">
        <f t="shared" si="23"/>
        <v>2386.5165298570359</v>
      </c>
      <c r="G95" s="69">
        <f t="shared" si="23"/>
        <v>2586.3670434633518</v>
      </c>
      <c r="H95" s="69">
        <f t="shared" si="23"/>
        <v>2722.5262787117199</v>
      </c>
      <c r="I95" s="69">
        <f t="shared" si="23"/>
        <v>2792.2893933069508</v>
      </c>
      <c r="J95" s="69">
        <f t="shared" si="23"/>
        <v>2878.9921233102468</v>
      </c>
      <c r="K95" s="66"/>
      <c r="L95" s="66"/>
      <c r="M95" s="66"/>
      <c r="N95" s="66"/>
      <c r="O95" s="66"/>
    </row>
    <row r="96" spans="2:15" x14ac:dyDescent="0.55000000000000004">
      <c r="B96" s="66" t="str">
        <f>B89</f>
        <v>BNPL (Afterpay)</v>
      </c>
      <c r="C96" s="66"/>
      <c r="D96" s="69">
        <f t="shared" si="23"/>
        <v>1015.7647499999999</v>
      </c>
      <c r="E96" s="69">
        <f t="shared" si="23"/>
        <v>1114.86375</v>
      </c>
      <c r="F96" s="69">
        <f t="shared" si="23"/>
        <v>1327.9266000000005</v>
      </c>
      <c r="G96" s="69">
        <f t="shared" si="23"/>
        <v>1536.0345000000002</v>
      </c>
      <c r="H96" s="69">
        <f t="shared" si="23"/>
        <v>1843.2414000000003</v>
      </c>
      <c r="I96" s="69">
        <f t="shared" si="23"/>
        <v>2119.7276100000008</v>
      </c>
      <c r="J96" s="69">
        <f t="shared" si="23"/>
        <v>2437.6867514999999</v>
      </c>
      <c r="K96" s="66"/>
      <c r="L96" s="66"/>
      <c r="M96" s="66"/>
      <c r="N96" s="66"/>
      <c r="O96" s="66"/>
    </row>
    <row r="97" spans="2:15" x14ac:dyDescent="0.55000000000000004">
      <c r="B97" s="66" t="str">
        <f>B90</f>
        <v>Cash App core</v>
      </c>
      <c r="C97" s="66"/>
      <c r="D97" s="69">
        <f t="shared" si="23"/>
        <v>376.49986483360976</v>
      </c>
      <c r="E97" s="69">
        <f t="shared" si="23"/>
        <v>63.297966645672204</v>
      </c>
      <c r="F97" s="69">
        <f t="shared" si="23"/>
        <v>15.32577648830511</v>
      </c>
      <c r="G97" s="69">
        <f t="shared" si="23"/>
        <v>-141.41136481600165</v>
      </c>
      <c r="H97" s="69">
        <f t="shared" si="23"/>
        <v>-307.79973357251652</v>
      </c>
      <c r="I97" s="69">
        <f t="shared" si="23"/>
        <v>352.63220234027176</v>
      </c>
      <c r="J97" s="69">
        <f t="shared" si="23"/>
        <v>144.43461689752849</v>
      </c>
      <c r="K97" s="66"/>
      <c r="L97" s="66"/>
      <c r="M97" s="66"/>
      <c r="N97" s="66"/>
      <c r="O97" s="66"/>
    </row>
    <row r="98" spans="2:15" x14ac:dyDescent="0.55000000000000004">
      <c r="B98" s="66" t="str">
        <f>B91</f>
        <v>Fin Services (ex BNPL)</v>
      </c>
      <c r="C98" s="66"/>
      <c r="D98" s="69">
        <f t="shared" si="23"/>
        <v>3788.9021565624998</v>
      </c>
      <c r="E98" s="69">
        <f t="shared" si="23"/>
        <v>4397.2345013423746</v>
      </c>
      <c r="F98" s="69">
        <f t="shared" si="23"/>
        <v>4636.7434443942147</v>
      </c>
      <c r="G98" s="69">
        <f t="shared" si="23"/>
        <v>5187.4032138132434</v>
      </c>
      <c r="H98" s="69">
        <f t="shared" si="23"/>
        <v>5677.8162749805406</v>
      </c>
      <c r="I98" s="69">
        <f t="shared" si="23"/>
        <v>5330.5251967226623</v>
      </c>
      <c r="J98" s="69">
        <f t="shared" si="23"/>
        <v>5796.7688380878917</v>
      </c>
      <c r="K98" s="66"/>
      <c r="L98" s="66"/>
      <c r="M98" s="66"/>
      <c r="N98" s="66"/>
      <c r="O98" s="66"/>
    </row>
    <row r="99" spans="2:15" x14ac:dyDescent="0.55000000000000004">
      <c r="B99" s="66" t="str">
        <f>B92</f>
        <v>Bitcoin</v>
      </c>
      <c r="C99" s="66"/>
      <c r="D99" s="213">
        <f>0.03*D101</f>
        <v>236.109074662886</v>
      </c>
      <c r="E99" s="213">
        <f t="shared" ref="E99:J99" si="24">0.03*E101</f>
        <v>253.94864192303956</v>
      </c>
      <c r="F99" s="213">
        <f t="shared" si="24"/>
        <v>274.22203146617181</v>
      </c>
      <c r="G99" s="213">
        <f t="shared" si="24"/>
        <v>299.02247605548229</v>
      </c>
      <c r="H99" s="213">
        <f t="shared" si="24"/>
        <v>322.75621299339412</v>
      </c>
      <c r="I99" s="213">
        <f t="shared" si="24"/>
        <v>343.14972378463563</v>
      </c>
      <c r="J99" s="213">
        <f t="shared" si="24"/>
        <v>363.64584525141237</v>
      </c>
      <c r="K99" s="66"/>
      <c r="L99" s="66"/>
      <c r="M99" s="66"/>
      <c r="N99" s="66"/>
      <c r="O99" s="66"/>
    </row>
    <row r="100" spans="2:15" x14ac:dyDescent="0.55000000000000004">
      <c r="B100" s="87" t="s">
        <v>610</v>
      </c>
      <c r="C100" s="87"/>
      <c r="D100" s="218">
        <v>500</v>
      </c>
      <c r="E100" s="218">
        <v>500</v>
      </c>
      <c r="F100" s="218">
        <v>500</v>
      </c>
      <c r="G100" s="218">
        <v>500</v>
      </c>
      <c r="H100" s="218">
        <v>500</v>
      </c>
      <c r="I100" s="218">
        <v>500</v>
      </c>
      <c r="J100" s="218">
        <v>500</v>
      </c>
      <c r="K100" s="66"/>
      <c r="L100" s="66"/>
      <c r="M100" s="66"/>
      <c r="N100" s="66"/>
      <c r="O100" s="66"/>
    </row>
    <row r="101" spans="2:15" x14ac:dyDescent="0.55000000000000004">
      <c r="B101" s="66" t="s">
        <v>604</v>
      </c>
      <c r="C101" s="66"/>
      <c r="D101" s="69">
        <f>Master!I71</f>
        <v>7870.3024887628671</v>
      </c>
      <c r="E101" s="69">
        <f>Master!J71</f>
        <v>8464.9547307679859</v>
      </c>
      <c r="F101" s="69">
        <f>Master!K71</f>
        <v>9140.7343822057283</v>
      </c>
      <c r="G101" s="69">
        <f>Master!L71</f>
        <v>9967.4158685160764</v>
      </c>
      <c r="H101" s="69">
        <f>Master!M71</f>
        <v>10758.540433113138</v>
      </c>
      <c r="I101" s="69">
        <f>Master!N71</f>
        <v>11438.324126154521</v>
      </c>
      <c r="J101" s="69">
        <f>Master!O71</f>
        <v>12121.528175047079</v>
      </c>
      <c r="K101" s="66"/>
      <c r="L101" s="66"/>
      <c r="M101" s="66"/>
      <c r="N101" s="66"/>
      <c r="O101" s="66"/>
    </row>
    <row r="102" spans="2:15" x14ac:dyDescent="0.55000000000000004">
      <c r="B102" s="66"/>
      <c r="C102" s="66"/>
      <c r="D102" s="66"/>
      <c r="E102" s="66"/>
      <c r="F102" s="66"/>
      <c r="G102" s="66"/>
      <c r="H102" s="66"/>
      <c r="I102" s="66"/>
      <c r="J102" s="66"/>
      <c r="K102" s="66"/>
      <c r="L102" s="66"/>
      <c r="M102" s="66"/>
      <c r="N102" s="66"/>
      <c r="O102" s="66"/>
    </row>
    <row r="103" spans="2:15" x14ac:dyDescent="0.55000000000000004">
      <c r="B103" s="67" t="str">
        <f>B88</f>
        <v>Payments / software</v>
      </c>
      <c r="C103" s="66"/>
      <c r="D103" s="66"/>
      <c r="E103" s="66"/>
      <c r="F103" s="66"/>
      <c r="G103" s="66"/>
      <c r="H103" s="66"/>
      <c r="I103" s="66"/>
      <c r="J103" s="66"/>
      <c r="K103" s="66"/>
      <c r="L103" s="66"/>
      <c r="M103" s="66"/>
      <c r="N103" s="66"/>
      <c r="O103" s="66"/>
    </row>
    <row r="104" spans="2:15" x14ac:dyDescent="0.55000000000000004">
      <c r="B104" s="66" t="s">
        <v>606</v>
      </c>
      <c r="C104" s="66"/>
      <c r="D104" s="139">
        <v>0.5</v>
      </c>
      <c r="E104" s="139">
        <v>0.5</v>
      </c>
      <c r="F104" s="139">
        <v>0.5</v>
      </c>
      <c r="G104" s="139">
        <v>0.5</v>
      </c>
      <c r="H104" s="139">
        <v>0.5</v>
      </c>
      <c r="I104" s="139">
        <v>0.5</v>
      </c>
      <c r="J104" s="139">
        <v>0.5</v>
      </c>
      <c r="K104" s="66"/>
      <c r="L104" s="66"/>
      <c r="M104" s="66"/>
      <c r="N104" s="66"/>
      <c r="O104" s="66"/>
    </row>
    <row r="105" spans="2:15" x14ac:dyDescent="0.55000000000000004">
      <c r="B105" s="66" t="s">
        <v>607</v>
      </c>
      <c r="C105" s="66"/>
      <c r="D105" s="69">
        <f t="shared" ref="D105:J105" si="25">D59/D104</f>
        <v>5580.0761220110599</v>
      </c>
      <c r="E105" s="69">
        <f t="shared" si="25"/>
        <v>6101.7424881625629</v>
      </c>
      <c r="F105" s="69">
        <f t="shared" si="25"/>
        <v>6818.6186567343884</v>
      </c>
      <c r="G105" s="69">
        <f t="shared" si="25"/>
        <v>7389.6201241810049</v>
      </c>
      <c r="H105" s="69">
        <f t="shared" si="25"/>
        <v>7778.6465106049145</v>
      </c>
      <c r="I105" s="69">
        <f t="shared" si="25"/>
        <v>7977.9696951627166</v>
      </c>
      <c r="J105" s="69">
        <f t="shared" si="25"/>
        <v>8225.69178088642</v>
      </c>
      <c r="K105" s="66"/>
      <c r="L105" s="66"/>
      <c r="M105" s="66"/>
      <c r="N105" s="66"/>
      <c r="O105" s="66"/>
    </row>
    <row r="106" spans="2:15" x14ac:dyDescent="0.55000000000000004">
      <c r="B106" s="66" t="s">
        <v>608</v>
      </c>
      <c r="C106" s="66"/>
      <c r="D106" s="139">
        <v>0.15</v>
      </c>
      <c r="E106" s="139">
        <v>0.15</v>
      </c>
      <c r="F106" s="139">
        <v>0.15</v>
      </c>
      <c r="G106" s="139">
        <v>0.15</v>
      </c>
      <c r="H106" s="139">
        <v>0.15</v>
      </c>
      <c r="I106" s="139">
        <v>0.15</v>
      </c>
      <c r="J106" s="139">
        <v>0.15</v>
      </c>
      <c r="K106" s="66"/>
      <c r="L106" s="66"/>
      <c r="M106" s="66"/>
      <c r="N106" s="66"/>
      <c r="O106" s="66"/>
    </row>
    <row r="107" spans="2:15" x14ac:dyDescent="0.55000000000000004">
      <c r="B107" s="66" t="s">
        <v>354</v>
      </c>
      <c r="C107" s="66"/>
      <c r="D107" s="69">
        <f>D106*D105</f>
        <v>837.01141830165898</v>
      </c>
      <c r="E107" s="69">
        <f t="shared" ref="E107:J107" si="26">E106*E105</f>
        <v>915.26137322438444</v>
      </c>
      <c r="F107" s="69">
        <f t="shared" si="26"/>
        <v>1022.7927985101583</v>
      </c>
      <c r="G107" s="69">
        <f t="shared" si="26"/>
        <v>1108.4430186271506</v>
      </c>
      <c r="H107" s="69">
        <f t="shared" si="26"/>
        <v>1166.7969765907371</v>
      </c>
      <c r="I107" s="69">
        <f t="shared" si="26"/>
        <v>1196.6954542744074</v>
      </c>
      <c r="J107" s="69">
        <f t="shared" si="26"/>
        <v>1233.853767132963</v>
      </c>
      <c r="K107" s="66"/>
      <c r="L107" s="66"/>
      <c r="M107" s="66"/>
      <c r="N107" s="66"/>
      <c r="O107" s="66"/>
    </row>
    <row r="108" spans="2:15" x14ac:dyDescent="0.55000000000000004">
      <c r="B108" s="66"/>
      <c r="C108" s="66"/>
      <c r="D108" s="66"/>
      <c r="E108" s="66"/>
      <c r="F108" s="66"/>
      <c r="G108" s="66"/>
      <c r="H108" s="66"/>
      <c r="I108" s="66"/>
      <c r="J108" s="66"/>
      <c r="K108" s="66"/>
      <c r="L108" s="66"/>
      <c r="M108" s="66"/>
      <c r="N108" s="66"/>
      <c r="O108" s="66"/>
    </row>
    <row r="109" spans="2:15" x14ac:dyDescent="0.55000000000000004">
      <c r="B109" s="67" t="s">
        <v>611</v>
      </c>
      <c r="C109" s="66"/>
      <c r="D109" s="66"/>
      <c r="E109" s="66"/>
      <c r="F109" s="66"/>
      <c r="G109" s="66"/>
      <c r="H109" s="66"/>
      <c r="I109" s="66"/>
      <c r="J109" s="66"/>
      <c r="K109" s="66"/>
      <c r="L109" s="66"/>
      <c r="M109" s="66"/>
      <c r="N109" s="66"/>
      <c r="O109" s="66"/>
    </row>
    <row r="110" spans="2:15" x14ac:dyDescent="0.55000000000000004">
      <c r="B110" s="66" t="s">
        <v>606</v>
      </c>
      <c r="C110" s="66"/>
      <c r="D110" s="139">
        <v>0.4</v>
      </c>
      <c r="E110" s="139">
        <v>0.4</v>
      </c>
      <c r="F110" s="139">
        <v>0.4</v>
      </c>
      <c r="G110" s="139">
        <v>0.4</v>
      </c>
      <c r="H110" s="139">
        <v>0.4</v>
      </c>
      <c r="I110" s="139">
        <v>0.4</v>
      </c>
      <c r="J110" s="139">
        <v>0.4</v>
      </c>
      <c r="K110" s="66"/>
      <c r="L110" s="66"/>
      <c r="M110" s="66"/>
      <c r="N110" s="66"/>
      <c r="O110" s="66"/>
    </row>
    <row r="111" spans="2:15" x14ac:dyDescent="0.55000000000000004">
      <c r="B111" s="66" t="s">
        <v>607</v>
      </c>
      <c r="C111" s="66"/>
      <c r="D111" s="69">
        <f t="shared" ref="D111:J111" si="27">D62/D110</f>
        <v>7577.8043131249997</v>
      </c>
      <c r="E111" s="69">
        <f t="shared" si="27"/>
        <v>9355.8180879624997</v>
      </c>
      <c r="F111" s="69">
        <f t="shared" si="27"/>
        <v>11039.865343795749</v>
      </c>
      <c r="G111" s="69">
        <f t="shared" si="27"/>
        <v>12968.508034533108</v>
      </c>
      <c r="H111" s="69">
        <f t="shared" si="27"/>
        <v>14941.621776264579</v>
      </c>
      <c r="I111" s="69">
        <f t="shared" si="27"/>
        <v>16657.891239758319</v>
      </c>
      <c r="J111" s="69">
        <f t="shared" si="27"/>
        <v>18114.902619024662</v>
      </c>
      <c r="K111" s="66"/>
      <c r="L111" s="66"/>
      <c r="M111" s="66"/>
      <c r="N111" s="66"/>
      <c r="O111" s="66"/>
    </row>
    <row r="112" spans="2:15" x14ac:dyDescent="0.55000000000000004">
      <c r="B112" s="66" t="s">
        <v>608</v>
      </c>
      <c r="C112" s="66"/>
      <c r="D112" s="139">
        <v>-0.1</v>
      </c>
      <c r="E112" s="139">
        <v>-7.0000000000000007E-2</v>
      </c>
      <c r="F112" s="139">
        <v>-0.02</v>
      </c>
      <c r="G112" s="139">
        <v>0</v>
      </c>
      <c r="H112" s="139">
        <v>0.02</v>
      </c>
      <c r="I112" s="139">
        <v>0.08</v>
      </c>
      <c r="J112" s="139">
        <v>0.08</v>
      </c>
      <c r="K112" s="66"/>
      <c r="L112" s="66"/>
      <c r="M112" s="66"/>
      <c r="N112" s="66"/>
      <c r="O112" s="66"/>
    </row>
    <row r="113" spans="2:15" x14ac:dyDescent="0.55000000000000004">
      <c r="B113" s="66" t="s">
        <v>354</v>
      </c>
      <c r="C113" s="66"/>
      <c r="D113" s="69">
        <f t="shared" ref="D113:J113" si="28">D112*D111</f>
        <v>-757.78043131250001</v>
      </c>
      <c r="E113" s="69">
        <f t="shared" si="28"/>
        <v>-654.90726615737503</v>
      </c>
      <c r="F113" s="69">
        <f t="shared" si="28"/>
        <v>-220.79730687591498</v>
      </c>
      <c r="G113" s="69">
        <f t="shared" si="28"/>
        <v>0</v>
      </c>
      <c r="H113" s="69">
        <f t="shared" si="28"/>
        <v>298.8324355252916</v>
      </c>
      <c r="I113" s="69">
        <f t="shared" si="28"/>
        <v>1332.6312991806656</v>
      </c>
      <c r="J113" s="69">
        <f t="shared" si="28"/>
        <v>1449.1922095219729</v>
      </c>
      <c r="K113" s="66"/>
      <c r="L113" s="66"/>
      <c r="M113" s="66"/>
      <c r="N113" s="66"/>
      <c r="O113" s="66"/>
    </row>
    <row r="114" spans="2:15" x14ac:dyDescent="0.55000000000000004">
      <c r="B114" s="66"/>
      <c r="C114" s="66"/>
      <c r="D114" s="69"/>
      <c r="E114" s="69"/>
      <c r="F114" s="69"/>
      <c r="G114" s="69"/>
      <c r="H114" s="69"/>
      <c r="I114" s="69"/>
      <c r="J114" s="69"/>
      <c r="K114" s="66"/>
      <c r="L114" s="66"/>
      <c r="M114" s="66"/>
      <c r="N114" s="66"/>
      <c r="O114" s="66"/>
    </row>
    <row r="115" spans="2:15" x14ac:dyDescent="0.55000000000000004">
      <c r="B115" s="67" t="s">
        <v>609</v>
      </c>
      <c r="C115" s="66"/>
      <c r="D115" s="66"/>
      <c r="E115" s="66"/>
      <c r="F115" s="66"/>
      <c r="G115" s="66"/>
      <c r="H115" s="66"/>
      <c r="I115" s="66"/>
      <c r="J115" s="66"/>
      <c r="K115" s="66"/>
      <c r="L115" s="66"/>
      <c r="M115" s="66"/>
      <c r="N115" s="66"/>
      <c r="O115" s="66"/>
    </row>
    <row r="116" spans="2:15" x14ac:dyDescent="0.55000000000000004">
      <c r="B116" s="66" t="str">
        <f>B95</f>
        <v>Payments / software</v>
      </c>
      <c r="C116" s="66"/>
      <c r="D116" s="69">
        <f t="shared" ref="D116:J116" si="29">D107</f>
        <v>837.01141830165898</v>
      </c>
      <c r="E116" s="69">
        <f t="shared" si="29"/>
        <v>915.26137322438444</v>
      </c>
      <c r="F116" s="69">
        <f t="shared" si="29"/>
        <v>1022.7927985101583</v>
      </c>
      <c r="G116" s="69">
        <f t="shared" si="29"/>
        <v>1108.4430186271506</v>
      </c>
      <c r="H116" s="69">
        <f t="shared" si="29"/>
        <v>1166.7969765907371</v>
      </c>
      <c r="I116" s="69">
        <f t="shared" si="29"/>
        <v>1196.6954542744074</v>
      </c>
      <c r="J116" s="69">
        <f t="shared" si="29"/>
        <v>1233.853767132963</v>
      </c>
      <c r="K116" s="66"/>
      <c r="L116" s="66"/>
      <c r="M116" s="66"/>
      <c r="N116" s="66"/>
      <c r="O116" s="66"/>
    </row>
    <row r="117" spans="2:15" x14ac:dyDescent="0.55000000000000004">
      <c r="B117" s="66" t="str">
        <f>B96</f>
        <v>BNPL (Afterpay)</v>
      </c>
      <c r="C117" s="66"/>
      <c r="D117" s="140">
        <f>BNPL!E67</f>
        <v>-123.87375</v>
      </c>
      <c r="E117" s="140">
        <f>BNPL!F67</f>
        <v>0</v>
      </c>
      <c r="F117" s="140">
        <f>BNPL!G67</f>
        <v>99.099000000000018</v>
      </c>
      <c r="G117" s="140">
        <f>BNPL!H67</f>
        <v>247.74750000000006</v>
      </c>
      <c r="H117" s="140">
        <f>BNPL!I67</f>
        <v>297.29700000000008</v>
      </c>
      <c r="I117" s="140">
        <f>BNPL!J67</f>
        <v>341.89155000000005</v>
      </c>
      <c r="J117" s="140">
        <f>BNPL!K67</f>
        <v>393.17528250000004</v>
      </c>
      <c r="K117" s="66"/>
      <c r="L117" s="66"/>
      <c r="M117" s="66"/>
      <c r="N117" s="66"/>
      <c r="O117" s="66"/>
    </row>
    <row r="118" spans="2:15" x14ac:dyDescent="0.55000000000000004">
      <c r="B118" s="66" t="str">
        <f>B97</f>
        <v>Cash App core</v>
      </c>
      <c r="C118" s="66"/>
      <c r="D118" s="69">
        <f t="shared" ref="D118:J118" si="30">D122-D116-D117-D119-D120-D121</f>
        <v>1443.9915367663903</v>
      </c>
      <c r="E118" s="69">
        <f t="shared" si="30"/>
        <v>1824.8988655343269</v>
      </c>
      <c r="F118" s="69">
        <f t="shared" si="30"/>
        <v>1863.5433998916947</v>
      </c>
      <c r="G118" s="69">
        <f t="shared" si="30"/>
        <v>1940.0487364030023</v>
      </c>
      <c r="H118" s="69">
        <f t="shared" si="30"/>
        <v>2056.9571243270666</v>
      </c>
      <c r="I118" s="69">
        <f t="shared" si="30"/>
        <v>1348.4400242005008</v>
      </c>
      <c r="J118" s="69">
        <f t="shared" si="30"/>
        <v>1509.9072092056992</v>
      </c>
      <c r="K118" s="66"/>
      <c r="L118" s="66"/>
      <c r="M118" s="66"/>
      <c r="N118" s="66"/>
      <c r="O118" s="66"/>
    </row>
    <row r="119" spans="2:15" x14ac:dyDescent="0.55000000000000004">
      <c r="B119" s="66" t="str">
        <f>B98</f>
        <v>Fin Services (ex BNPL)</v>
      </c>
      <c r="C119" s="66"/>
      <c r="D119" s="69">
        <f>D113</f>
        <v>-757.78043131250001</v>
      </c>
      <c r="E119" s="69">
        <f t="shared" ref="E119:J119" si="31">E113</f>
        <v>-654.90726615737503</v>
      </c>
      <c r="F119" s="69">
        <f t="shared" si="31"/>
        <v>-220.79730687591498</v>
      </c>
      <c r="G119" s="69">
        <f t="shared" si="31"/>
        <v>0</v>
      </c>
      <c r="H119" s="69">
        <f t="shared" si="31"/>
        <v>298.8324355252916</v>
      </c>
      <c r="I119" s="69">
        <f t="shared" si="31"/>
        <v>1332.6312991806656</v>
      </c>
      <c r="J119" s="69">
        <f t="shared" si="31"/>
        <v>1449.1922095219729</v>
      </c>
      <c r="K119" s="66"/>
      <c r="L119" s="66"/>
      <c r="M119" s="66"/>
      <c r="N119" s="66"/>
      <c r="O119" s="66"/>
    </row>
    <row r="120" spans="2:15" x14ac:dyDescent="0.55000000000000004">
      <c r="B120" s="66" t="str">
        <f>B99</f>
        <v>Bitcoin</v>
      </c>
      <c r="C120" s="66"/>
      <c r="D120" s="69">
        <f t="shared" ref="D120:J122" si="32">D65-D99</f>
        <v>61.757676057114026</v>
      </c>
      <c r="E120" s="69">
        <f t="shared" si="32"/>
        <v>47.641443180960465</v>
      </c>
      <c r="F120" s="69">
        <f t="shared" si="32"/>
        <v>30.71905458342826</v>
      </c>
      <c r="G120" s="69">
        <f t="shared" si="32"/>
        <v>8.8507358215177874</v>
      </c>
      <c r="H120" s="69">
        <f t="shared" si="32"/>
        <v>-12.420015421378082</v>
      </c>
      <c r="I120" s="69">
        <f t="shared" si="32"/>
        <v>-30.873924977794502</v>
      </c>
      <c r="J120" s="69">
        <f t="shared" si="32"/>
        <v>-50.012325580193647</v>
      </c>
      <c r="K120" s="66"/>
      <c r="L120" s="66"/>
      <c r="M120" s="66"/>
      <c r="N120" s="66"/>
      <c r="O120" s="66"/>
    </row>
    <row r="121" spans="2:15" x14ac:dyDescent="0.55000000000000004">
      <c r="B121" s="87" t="s">
        <v>321</v>
      </c>
      <c r="C121" s="87"/>
      <c r="D121" s="88">
        <f t="shared" si="32"/>
        <v>-434</v>
      </c>
      <c r="E121" s="88">
        <f t="shared" si="32"/>
        <v>-432.35</v>
      </c>
      <c r="F121" s="88">
        <f t="shared" si="32"/>
        <v>-430.65875</v>
      </c>
      <c r="G121" s="88">
        <f t="shared" si="32"/>
        <v>-428.92521875</v>
      </c>
      <c r="H121" s="88">
        <f t="shared" si="32"/>
        <v>-427.14834921875001</v>
      </c>
      <c r="I121" s="88">
        <f t="shared" si="32"/>
        <v>-425.32705794921878</v>
      </c>
      <c r="J121" s="88">
        <f t="shared" si="32"/>
        <v>-423.46023439794925</v>
      </c>
      <c r="K121" s="66"/>
      <c r="L121" s="66"/>
      <c r="M121" s="66"/>
      <c r="N121" s="66"/>
      <c r="O121" s="66"/>
    </row>
    <row r="122" spans="2:15" x14ac:dyDescent="0.55000000000000004">
      <c r="B122" s="66" t="s">
        <v>184</v>
      </c>
      <c r="C122" s="66"/>
      <c r="D122" s="69">
        <f t="shared" si="32"/>
        <v>1027.1064498126634</v>
      </c>
      <c r="E122" s="69">
        <f t="shared" si="32"/>
        <v>1700.5444157822967</v>
      </c>
      <c r="F122" s="69">
        <f t="shared" si="32"/>
        <v>2364.6981961093661</v>
      </c>
      <c r="G122" s="69">
        <f t="shared" si="32"/>
        <v>2876.1647721016707</v>
      </c>
      <c r="H122" s="69">
        <f t="shared" si="32"/>
        <v>3380.3151718029676</v>
      </c>
      <c r="I122" s="69">
        <f t="shared" si="32"/>
        <v>3763.4573447285602</v>
      </c>
      <c r="J122" s="69">
        <f t="shared" si="32"/>
        <v>4112.6559083824923</v>
      </c>
      <c r="K122" s="66"/>
      <c r="L122" s="66"/>
      <c r="M122" s="66"/>
      <c r="N122" s="66"/>
      <c r="O122" s="66"/>
    </row>
    <row r="123" spans="2:15" x14ac:dyDescent="0.55000000000000004">
      <c r="B123" s="66"/>
      <c r="C123" s="66"/>
      <c r="D123" s="66"/>
      <c r="E123" s="66"/>
      <c r="F123" s="66"/>
      <c r="G123" s="66"/>
      <c r="H123" s="66"/>
      <c r="I123" s="66"/>
      <c r="J123" s="66"/>
      <c r="K123" s="66"/>
      <c r="L123" s="66"/>
      <c r="M123" s="66"/>
      <c r="N123" s="66"/>
      <c r="O123" s="66"/>
    </row>
    <row r="124" spans="2:15" x14ac:dyDescent="0.55000000000000004">
      <c r="B124" s="67" t="s">
        <v>612</v>
      </c>
      <c r="C124" s="66"/>
      <c r="D124" s="66"/>
      <c r="E124" s="66"/>
      <c r="F124" s="66"/>
      <c r="G124" s="66"/>
      <c r="H124" s="66"/>
      <c r="I124" s="66"/>
      <c r="J124" s="66"/>
      <c r="K124" s="66"/>
      <c r="L124" s="66"/>
      <c r="M124" s="66"/>
      <c r="N124" s="66"/>
      <c r="O124" s="66"/>
    </row>
    <row r="125" spans="2:15" x14ac:dyDescent="0.55000000000000004">
      <c r="B125" s="66" t="str">
        <f t="shared" ref="B125:B131" si="33">B116</f>
        <v>Payments / software</v>
      </c>
      <c r="C125" s="66"/>
      <c r="D125" s="134">
        <f>D116/D$122</f>
        <v>0.81492178191883002</v>
      </c>
      <c r="E125" s="134">
        <f t="shared" ref="E125:J125" si="34">E116/E$122</f>
        <v>0.53821668209903195</v>
      </c>
      <c r="F125" s="134">
        <f t="shared" si="34"/>
        <v>0.43252572366019371</v>
      </c>
      <c r="G125" s="134">
        <f t="shared" si="34"/>
        <v>0.38538926190142764</v>
      </c>
      <c r="H125" s="134">
        <f t="shared" si="34"/>
        <v>0.34517401996228642</v>
      </c>
      <c r="I125" s="134">
        <f t="shared" si="34"/>
        <v>0.31797768505350743</v>
      </c>
      <c r="J125" s="134">
        <f t="shared" si="34"/>
        <v>0.30001385834834837</v>
      </c>
      <c r="K125" s="66"/>
      <c r="L125" s="66"/>
      <c r="M125" s="66"/>
      <c r="N125" s="66"/>
      <c r="O125" s="66"/>
    </row>
    <row r="126" spans="2:15" x14ac:dyDescent="0.55000000000000004">
      <c r="B126" s="66" t="str">
        <f t="shared" si="33"/>
        <v>BNPL (Afterpay)</v>
      </c>
      <c r="C126" s="66"/>
      <c r="D126" s="134">
        <f t="shared" ref="D126:J126" si="35">D117/D$122</f>
        <v>-0.12060458779379066</v>
      </c>
      <c r="E126" s="134">
        <f t="shared" si="35"/>
        <v>0</v>
      </c>
      <c r="F126" s="134">
        <f t="shared" si="35"/>
        <v>4.1907673530198246E-2</v>
      </c>
      <c r="G126" s="134">
        <f t="shared" si="35"/>
        <v>8.6138145631679527E-2</v>
      </c>
      <c r="H126" s="134">
        <f t="shared" si="35"/>
        <v>8.7949491361017082E-2</v>
      </c>
      <c r="I126" s="134">
        <f t="shared" si="35"/>
        <v>9.084507108307853E-2</v>
      </c>
      <c r="J126" s="134">
        <f t="shared" si="35"/>
        <v>9.5601307587785983E-2</v>
      </c>
      <c r="K126" s="66"/>
      <c r="L126" s="66"/>
      <c r="M126" s="66"/>
      <c r="N126" s="66"/>
      <c r="O126" s="66"/>
    </row>
    <row r="127" spans="2:15" x14ac:dyDescent="0.55000000000000004">
      <c r="B127" s="66" t="str">
        <f t="shared" si="33"/>
        <v>Cash App core</v>
      </c>
      <c r="C127" s="66"/>
      <c r="D127" s="134">
        <f t="shared" ref="D127:J127" si="36">D118/D$122</f>
        <v>1.4058830387344599</v>
      </c>
      <c r="E127" s="134">
        <f t="shared" si="36"/>
        <v>1.0731262580370908</v>
      </c>
      <c r="F127" s="134">
        <f t="shared" si="36"/>
        <v>0.78806817840762067</v>
      </c>
      <c r="G127" s="134">
        <f t="shared" si="36"/>
        <v>0.6745262841757742</v>
      </c>
      <c r="H127" s="134">
        <f t="shared" si="36"/>
        <v>0.60851045532240766</v>
      </c>
      <c r="I127" s="134">
        <f t="shared" si="36"/>
        <v>0.35829820845166432</v>
      </c>
      <c r="J127" s="134">
        <f t="shared" si="36"/>
        <v>0.36713677070045614</v>
      </c>
      <c r="K127" s="66"/>
      <c r="L127" s="66"/>
      <c r="M127" s="66"/>
      <c r="N127" s="66"/>
      <c r="O127" s="66"/>
    </row>
    <row r="128" spans="2:15" x14ac:dyDescent="0.55000000000000004">
      <c r="B128" s="66" t="str">
        <f t="shared" si="33"/>
        <v>Fin Services (ex BNPL)</v>
      </c>
      <c r="C128" s="66"/>
      <c r="D128" s="134">
        <f t="shared" ref="D128:J128" si="37">D119/D$122</f>
        <v>-0.7377817863481565</v>
      </c>
      <c r="E128" s="134">
        <f t="shared" si="37"/>
        <v>-0.38511623694115621</v>
      </c>
      <c r="F128" s="134">
        <f t="shared" si="37"/>
        <v>-9.337229894250032E-2</v>
      </c>
      <c r="G128" s="134">
        <f t="shared" si="37"/>
        <v>0</v>
      </c>
      <c r="H128" s="134">
        <f t="shared" si="37"/>
        <v>8.840371987145286E-2</v>
      </c>
      <c r="I128" s="134">
        <f t="shared" si="37"/>
        <v>0.35409762277424767</v>
      </c>
      <c r="J128" s="134">
        <f t="shared" si="37"/>
        <v>0.35237380461813061</v>
      </c>
      <c r="K128" s="66"/>
      <c r="L128" s="66"/>
      <c r="M128" s="66"/>
      <c r="N128" s="66"/>
      <c r="O128" s="66"/>
    </row>
    <row r="129" spans="2:15" x14ac:dyDescent="0.55000000000000004">
      <c r="B129" s="66" t="str">
        <f t="shared" si="33"/>
        <v>Bitcoin</v>
      </c>
      <c r="C129" s="66"/>
      <c r="D129" s="134">
        <f t="shared" ref="D129:J129" si="38">D120/D$122</f>
        <v>6.0127824207878516E-2</v>
      </c>
      <c r="E129" s="134">
        <f t="shared" si="38"/>
        <v>2.8015406559695241E-2</v>
      </c>
      <c r="F129" s="134">
        <f t="shared" si="38"/>
        <v>1.2990687198040861E-2</v>
      </c>
      <c r="G129" s="134">
        <f t="shared" si="38"/>
        <v>3.0772700880590991E-3</v>
      </c>
      <c r="H129" s="134">
        <f t="shared" si="38"/>
        <v>-3.6742181690571727E-3</v>
      </c>
      <c r="I129" s="134">
        <f t="shared" si="38"/>
        <v>-8.2036069894718816E-3</v>
      </c>
      <c r="J129" s="134">
        <f t="shared" si="38"/>
        <v>-1.2160590794444434E-2</v>
      </c>
      <c r="K129" s="66"/>
      <c r="L129" s="66"/>
      <c r="M129" s="66"/>
      <c r="N129" s="66"/>
      <c r="O129" s="66"/>
    </row>
    <row r="130" spans="2:15" x14ac:dyDescent="0.55000000000000004">
      <c r="B130" s="87" t="str">
        <f t="shared" si="33"/>
        <v>Other</v>
      </c>
      <c r="C130" s="87"/>
      <c r="D130" s="210">
        <f t="shared" ref="D130:J130" si="39">D121/D$122</f>
        <v>-0.42254627071922135</v>
      </c>
      <c r="E130" s="210">
        <f t="shared" si="39"/>
        <v>-0.25424210975466188</v>
      </c>
      <c r="F130" s="210">
        <f t="shared" si="39"/>
        <v>-0.18211996385355311</v>
      </c>
      <c r="G130" s="210">
        <f t="shared" si="39"/>
        <v>-0.14913096179694038</v>
      </c>
      <c r="H130" s="210">
        <f t="shared" si="39"/>
        <v>-0.12636346834810697</v>
      </c>
      <c r="I130" s="210">
        <f t="shared" si="39"/>
        <v>-0.113014980373026</v>
      </c>
      <c r="J130" s="210">
        <f t="shared" si="39"/>
        <v>-0.1029651504602767</v>
      </c>
      <c r="K130" s="66"/>
      <c r="L130" s="66"/>
      <c r="M130" s="66"/>
      <c r="N130" s="66"/>
      <c r="O130" s="66"/>
    </row>
    <row r="131" spans="2:15" x14ac:dyDescent="0.55000000000000004">
      <c r="B131" s="66" t="str">
        <f t="shared" si="33"/>
        <v>Group</v>
      </c>
      <c r="C131" s="66"/>
      <c r="D131" s="134">
        <f t="shared" ref="D131:J131" si="40">D122/D$122</f>
        <v>1</v>
      </c>
      <c r="E131" s="134">
        <f t="shared" si="40"/>
        <v>1</v>
      </c>
      <c r="F131" s="134">
        <f t="shared" si="40"/>
        <v>1</v>
      </c>
      <c r="G131" s="134">
        <f t="shared" si="40"/>
        <v>1</v>
      </c>
      <c r="H131" s="134">
        <f t="shared" si="40"/>
        <v>1</v>
      </c>
      <c r="I131" s="134">
        <f t="shared" si="40"/>
        <v>1</v>
      </c>
      <c r="J131" s="134">
        <f t="shared" si="40"/>
        <v>1</v>
      </c>
      <c r="K131" s="66"/>
      <c r="L131" s="66"/>
      <c r="M131" s="66"/>
      <c r="N131" s="66"/>
      <c r="O131" s="66"/>
    </row>
    <row r="132" spans="2:15" x14ac:dyDescent="0.55000000000000004">
      <c r="B132" s="66"/>
      <c r="C132" s="66"/>
      <c r="D132" s="66"/>
      <c r="E132" s="66"/>
      <c r="F132" s="66"/>
      <c r="G132" s="66"/>
      <c r="H132" s="66"/>
      <c r="I132" s="66"/>
      <c r="J132" s="66"/>
      <c r="K132" s="66"/>
      <c r="L132" s="66"/>
      <c r="M132" s="66"/>
      <c r="N132" s="66"/>
      <c r="O132" s="66"/>
    </row>
    <row r="133" spans="2:15" x14ac:dyDescent="0.55000000000000004">
      <c r="B133" s="67" t="s">
        <v>1181</v>
      </c>
      <c r="C133" s="66"/>
      <c r="D133" s="66"/>
      <c r="E133" s="66"/>
      <c r="F133" s="66"/>
      <c r="G133" s="66"/>
      <c r="H133" s="66"/>
      <c r="I133" s="66"/>
      <c r="J133" s="66"/>
      <c r="K133" s="66"/>
      <c r="L133" s="66"/>
      <c r="M133" s="66"/>
      <c r="N133" s="66"/>
      <c r="O133" s="66"/>
    </row>
    <row r="134" spans="2:15" x14ac:dyDescent="0.55000000000000004">
      <c r="B134" s="66"/>
      <c r="C134" s="66"/>
      <c r="D134" s="66"/>
      <c r="E134" s="66"/>
      <c r="F134" s="66"/>
      <c r="G134" s="66"/>
      <c r="H134" s="66"/>
      <c r="I134" s="66"/>
      <c r="J134" s="66"/>
      <c r="K134" s="66"/>
      <c r="L134" s="66"/>
      <c r="M134" s="66"/>
      <c r="N134" s="66"/>
      <c r="O134" s="66"/>
    </row>
    <row r="135" spans="2:15" x14ac:dyDescent="0.55000000000000004">
      <c r="B135" s="66" t="s">
        <v>1259</v>
      </c>
      <c r="C135" s="171">
        <f>C166</f>
        <v>7.0500000000000007E-2</v>
      </c>
      <c r="D135" s="66"/>
      <c r="E135" s="66"/>
      <c r="F135" s="66"/>
      <c r="G135" s="66"/>
      <c r="H135" s="66"/>
      <c r="I135" s="66"/>
      <c r="J135" s="66"/>
      <c r="K135" s="66"/>
      <c r="L135" s="66"/>
      <c r="M135" s="66"/>
      <c r="N135" s="66"/>
      <c r="O135" s="66"/>
    </row>
    <row r="136" spans="2:15" x14ac:dyDescent="0.55000000000000004">
      <c r="B136" s="66" t="s">
        <v>1260</v>
      </c>
      <c r="C136" s="171">
        <v>0</v>
      </c>
      <c r="D136" s="66"/>
      <c r="E136" s="66"/>
      <c r="F136" s="66"/>
      <c r="G136" s="66"/>
      <c r="H136" s="66"/>
      <c r="I136" s="66"/>
      <c r="J136" s="66"/>
      <c r="K136" s="66"/>
      <c r="L136" s="66"/>
      <c r="M136" s="66"/>
      <c r="N136" s="66"/>
      <c r="O136" s="66"/>
    </row>
    <row r="137" spans="2:15" x14ac:dyDescent="0.55000000000000004">
      <c r="B137" s="66" t="s">
        <v>630</v>
      </c>
      <c r="C137" s="133">
        <f>1/(C135-C136)</f>
        <v>14.184397163120567</v>
      </c>
      <c r="D137" s="66"/>
      <c r="E137" s="66"/>
      <c r="F137" s="66"/>
      <c r="G137" s="66"/>
      <c r="H137" s="66"/>
      <c r="I137" s="66"/>
      <c r="J137" s="66"/>
      <c r="K137" s="66"/>
      <c r="L137" s="66"/>
      <c r="M137" s="66"/>
      <c r="N137" s="66"/>
      <c r="O137" s="66"/>
    </row>
    <row r="138" spans="2:15" x14ac:dyDescent="0.55000000000000004">
      <c r="B138" s="66"/>
      <c r="C138" s="66"/>
      <c r="D138" s="66"/>
      <c r="E138" s="66"/>
      <c r="F138" s="66"/>
      <c r="G138" s="66"/>
      <c r="H138" s="66"/>
      <c r="I138" s="66"/>
      <c r="J138" s="66"/>
      <c r="K138" s="66"/>
      <c r="L138" s="66"/>
      <c r="M138" s="66"/>
      <c r="N138" s="66"/>
      <c r="O138" s="66"/>
    </row>
    <row r="139" spans="2:15" x14ac:dyDescent="0.55000000000000004">
      <c r="B139" s="66"/>
      <c r="C139" s="66"/>
      <c r="D139" s="66"/>
      <c r="E139" s="66"/>
      <c r="F139" s="66"/>
      <c r="G139" s="66"/>
      <c r="H139" s="66"/>
      <c r="I139" s="66"/>
      <c r="J139" s="66"/>
      <c r="K139" s="66"/>
      <c r="L139" s="66"/>
      <c r="M139" s="66"/>
      <c r="N139" s="66"/>
      <c r="O139" s="66"/>
    </row>
    <row r="140" spans="2:15" x14ac:dyDescent="0.55000000000000004">
      <c r="B140" s="66" t="s">
        <v>700</v>
      </c>
      <c r="C140" s="66"/>
      <c r="D140" s="140">
        <f>Master!I191</f>
        <v>1939.9205358470786</v>
      </c>
      <c r="E140" s="140">
        <f>Master!J191</f>
        <v>2650.0045856726201</v>
      </c>
      <c r="F140" s="140">
        <f>Master!K191</f>
        <v>3389.6156961287684</v>
      </c>
      <c r="G140" s="140">
        <f>Master!L191</f>
        <v>3829.5688318540124</v>
      </c>
      <c r="H140" s="140">
        <f>Master!M191</f>
        <v>4360.7916135380174</v>
      </c>
      <c r="I140" s="140">
        <f>Master!N191</f>
        <v>4705.0344705639582</v>
      </c>
      <c r="J140" s="140">
        <f>Master!O191</f>
        <v>5000.0347090601017</v>
      </c>
      <c r="L140" s="66"/>
      <c r="M140" s="66"/>
      <c r="N140" s="66"/>
      <c r="O140" s="66"/>
    </row>
    <row r="141" spans="2:15" x14ac:dyDescent="0.55000000000000004">
      <c r="B141" s="87" t="s">
        <v>1253</v>
      </c>
      <c r="C141" s="87"/>
      <c r="D141" s="235">
        <f>Master!I163</f>
        <v>1276.097</v>
      </c>
      <c r="E141" s="235">
        <f>Master!J163</f>
        <v>1307.999425</v>
      </c>
      <c r="F141" s="235">
        <f>Master!K163</f>
        <v>1340.6994106249999</v>
      </c>
      <c r="G141" s="235">
        <f>Master!L163</f>
        <v>1374.2168958906248</v>
      </c>
      <c r="H141" s="235">
        <f>Master!M163</f>
        <v>1408.5723182878903</v>
      </c>
      <c r="I141" s="235">
        <f>Master!N163</f>
        <v>1443.7866262450875</v>
      </c>
      <c r="J141" s="235">
        <f>Master!O163</f>
        <v>1479.8812919012146</v>
      </c>
      <c r="L141" s="66"/>
      <c r="M141" s="66"/>
      <c r="N141" s="66"/>
      <c r="O141" s="66"/>
    </row>
    <row r="142" spans="2:15" x14ac:dyDescent="0.55000000000000004">
      <c r="B142" s="66" t="s">
        <v>1254</v>
      </c>
      <c r="C142" s="66"/>
      <c r="D142" s="140">
        <f t="shared" ref="D142:I142" si="41">D140-D141</f>
        <v>663.82353584707857</v>
      </c>
      <c r="E142" s="140">
        <f t="shared" si="41"/>
        <v>1342.0051606726201</v>
      </c>
      <c r="F142" s="140">
        <f t="shared" si="41"/>
        <v>2048.9162855037684</v>
      </c>
      <c r="G142" s="140">
        <f t="shared" si="41"/>
        <v>2455.3519359633874</v>
      </c>
      <c r="H142" s="140">
        <f t="shared" si="41"/>
        <v>2952.2192952501273</v>
      </c>
      <c r="I142" s="140">
        <f t="shared" si="41"/>
        <v>3261.2478443188706</v>
      </c>
      <c r="J142" s="140">
        <f>J140-J141</f>
        <v>3520.1534171588874</v>
      </c>
      <c r="L142" s="66"/>
      <c r="M142" s="66"/>
      <c r="N142" s="66"/>
      <c r="O142" s="66"/>
    </row>
    <row r="143" spans="2:15" x14ac:dyDescent="0.55000000000000004">
      <c r="B143" s="66"/>
      <c r="C143" s="66"/>
      <c r="D143" s="66"/>
      <c r="E143" s="66"/>
      <c r="F143" s="66"/>
      <c r="G143" s="66"/>
      <c r="H143" s="66"/>
      <c r="I143" s="66"/>
      <c r="J143" s="66"/>
      <c r="K143" s="66"/>
      <c r="L143" s="66"/>
      <c r="M143" s="66"/>
      <c r="N143" s="66"/>
      <c r="O143" s="66"/>
    </row>
    <row r="144" spans="2:15" x14ac:dyDescent="0.55000000000000004">
      <c r="B144" s="66" t="s">
        <v>1255</v>
      </c>
      <c r="C144" s="140">
        <f>NPV(C135,F142:J142)</f>
        <v>11450.402599107125</v>
      </c>
      <c r="D144" s="66"/>
      <c r="E144" s="66"/>
      <c r="F144" s="66"/>
      <c r="G144" s="66"/>
      <c r="H144" s="66"/>
      <c r="I144" s="66"/>
      <c r="J144" s="66"/>
      <c r="K144" s="66"/>
      <c r="L144" s="66"/>
      <c r="M144" s="66"/>
      <c r="N144" s="66"/>
      <c r="O144" s="66"/>
    </row>
    <row r="145" spans="2:15" x14ac:dyDescent="0.55000000000000004">
      <c r="B145" s="66" t="s">
        <v>1256</v>
      </c>
      <c r="C145" s="140">
        <f>C137*J142</f>
        <v>49931.254144097693</v>
      </c>
      <c r="D145" s="66"/>
      <c r="E145" s="66"/>
      <c r="F145" s="66"/>
      <c r="G145" s="66"/>
      <c r="H145" s="66"/>
      <c r="I145" s="66"/>
      <c r="J145" s="66"/>
      <c r="K145" s="66"/>
      <c r="L145" s="66"/>
      <c r="M145" s="66"/>
      <c r="N145" s="66"/>
      <c r="O145" s="66"/>
    </row>
    <row r="146" spans="2:15" x14ac:dyDescent="0.55000000000000004">
      <c r="B146" s="66" t="s">
        <v>1257</v>
      </c>
      <c r="C146" s="140">
        <f>C145/(1+C135)^5</f>
        <v>35517.232349730381</v>
      </c>
      <c r="D146" s="66"/>
      <c r="E146" s="66"/>
      <c r="F146" s="66"/>
      <c r="G146" s="66"/>
      <c r="H146" s="66"/>
      <c r="I146" s="66"/>
      <c r="J146" s="66"/>
      <c r="K146" s="66"/>
      <c r="L146" s="66"/>
      <c r="M146" s="66"/>
      <c r="N146" s="66"/>
      <c r="O146" s="66"/>
    </row>
    <row r="147" spans="2:15" x14ac:dyDescent="0.55000000000000004">
      <c r="B147" s="66"/>
      <c r="C147" s="66"/>
      <c r="D147" s="66"/>
      <c r="E147" s="66"/>
      <c r="F147" s="66"/>
      <c r="G147" s="66"/>
      <c r="H147" s="66"/>
      <c r="I147" s="66"/>
      <c r="J147" s="66"/>
      <c r="K147" s="66"/>
      <c r="L147" s="66"/>
      <c r="M147" s="66"/>
      <c r="N147" s="66"/>
      <c r="O147" s="66"/>
    </row>
    <row r="148" spans="2:15" x14ac:dyDescent="0.55000000000000004">
      <c r="B148" s="66" t="s">
        <v>166</v>
      </c>
      <c r="C148" s="140">
        <f>C144+C146</f>
        <v>46967.634948837505</v>
      </c>
      <c r="D148" s="66"/>
      <c r="E148" s="66"/>
      <c r="F148" s="66"/>
      <c r="G148" s="66"/>
      <c r="H148" s="66"/>
      <c r="I148" s="66"/>
      <c r="J148" s="66"/>
      <c r="K148" s="66"/>
      <c r="L148" s="66"/>
      <c r="M148" s="66"/>
      <c r="N148" s="66"/>
      <c r="O148" s="66"/>
    </row>
    <row r="149" spans="2:15" x14ac:dyDescent="0.55000000000000004">
      <c r="B149" s="66" t="s">
        <v>636</v>
      </c>
      <c r="C149" s="140">
        <f>E37</f>
        <v>1584</v>
      </c>
      <c r="D149" s="66"/>
      <c r="E149" s="66"/>
      <c r="F149" s="66"/>
      <c r="G149" s="66"/>
      <c r="H149" s="66"/>
      <c r="I149" s="66"/>
      <c r="J149" s="66"/>
      <c r="K149" s="66"/>
      <c r="L149" s="66"/>
      <c r="M149" s="66"/>
      <c r="N149" s="66"/>
      <c r="O149" s="66"/>
    </row>
    <row r="150" spans="2:15" x14ac:dyDescent="0.55000000000000004">
      <c r="B150" s="66" t="s">
        <v>637</v>
      </c>
      <c r="C150" s="140">
        <f>C148-C149</f>
        <v>45383.634948837505</v>
      </c>
      <c r="D150" s="66"/>
      <c r="E150" s="66"/>
      <c r="F150" s="66"/>
      <c r="G150" s="66"/>
      <c r="H150" s="66"/>
      <c r="I150" s="66"/>
      <c r="J150" s="66"/>
      <c r="K150" s="66"/>
      <c r="L150" s="66"/>
      <c r="M150" s="66"/>
      <c r="N150" s="66"/>
      <c r="O150" s="66"/>
    </row>
    <row r="151" spans="2:15" x14ac:dyDescent="0.55000000000000004">
      <c r="B151" s="66"/>
      <c r="C151" s="66"/>
      <c r="D151" s="66"/>
      <c r="E151" s="66"/>
      <c r="F151" s="66"/>
      <c r="G151" s="66"/>
      <c r="H151" s="66"/>
      <c r="I151" s="66"/>
      <c r="J151" s="66"/>
      <c r="K151" s="66"/>
      <c r="L151" s="66"/>
      <c r="M151" s="66"/>
      <c r="N151" s="66"/>
      <c r="O151" s="66"/>
    </row>
    <row r="152" spans="2:15" x14ac:dyDescent="0.55000000000000004">
      <c r="B152" s="66" t="s">
        <v>334</v>
      </c>
      <c r="C152" s="140">
        <f>G21</f>
        <v>632.32000000000005</v>
      </c>
      <c r="D152" s="66"/>
      <c r="E152" s="66"/>
      <c r="F152" s="66"/>
      <c r="G152" s="66"/>
      <c r="H152" s="66"/>
      <c r="I152" s="66"/>
      <c r="J152" s="66"/>
      <c r="K152" s="66"/>
      <c r="L152" s="66"/>
      <c r="M152" s="66"/>
      <c r="N152" s="66"/>
      <c r="O152" s="66"/>
    </row>
    <row r="153" spans="2:15" x14ac:dyDescent="0.55000000000000004">
      <c r="B153" s="66" t="s">
        <v>1258</v>
      </c>
      <c r="C153" s="140">
        <f>C150/C152</f>
        <v>71.773208104816391</v>
      </c>
      <c r="D153" s="66"/>
      <c r="E153" s="66"/>
      <c r="F153" s="66"/>
      <c r="G153" s="66"/>
      <c r="H153" s="66"/>
      <c r="I153" s="66"/>
      <c r="J153" s="66"/>
      <c r="K153" s="66"/>
      <c r="L153" s="66"/>
      <c r="M153" s="66"/>
      <c r="N153" s="66"/>
      <c r="O153" s="66"/>
    </row>
    <row r="154" spans="2:15" x14ac:dyDescent="0.55000000000000004">
      <c r="B154" s="66" t="s">
        <v>737</v>
      </c>
      <c r="C154" s="134">
        <f>C153/C32-1</f>
        <v>0.17199882600941185</v>
      </c>
      <c r="D154" s="66"/>
      <c r="E154" s="66"/>
      <c r="F154" s="66"/>
      <c r="G154" s="66"/>
      <c r="H154" s="66"/>
      <c r="I154" s="66"/>
      <c r="J154" s="66"/>
      <c r="K154" s="66"/>
      <c r="L154" s="66"/>
      <c r="M154" s="66"/>
      <c r="N154" s="66"/>
      <c r="O154" s="66"/>
    </row>
    <row r="155" spans="2:15" x14ac:dyDescent="0.55000000000000004">
      <c r="B155" s="66"/>
      <c r="C155" s="66"/>
      <c r="D155" s="66"/>
      <c r="E155" s="66"/>
      <c r="F155" s="66"/>
      <c r="G155" s="66"/>
      <c r="H155" s="66"/>
      <c r="I155" s="66"/>
      <c r="J155" s="66"/>
      <c r="K155" s="66"/>
      <c r="L155" s="66"/>
      <c r="M155" s="66"/>
      <c r="N155" s="66"/>
      <c r="O155" s="66"/>
    </row>
    <row r="156" spans="2:15" x14ac:dyDescent="0.55000000000000004">
      <c r="B156" s="66"/>
      <c r="C156" s="66"/>
      <c r="D156" s="66"/>
      <c r="E156" s="66"/>
      <c r="F156" s="66"/>
      <c r="G156" s="66"/>
      <c r="H156" s="66"/>
      <c r="I156" s="66"/>
      <c r="J156" s="66"/>
      <c r="K156" s="66"/>
      <c r="L156" s="66"/>
      <c r="M156" s="66"/>
      <c r="N156" s="66"/>
      <c r="O156" s="66"/>
    </row>
    <row r="157" spans="2:15" x14ac:dyDescent="0.55000000000000004">
      <c r="B157" s="66"/>
      <c r="C157" s="66"/>
      <c r="D157" s="66"/>
      <c r="E157" s="66"/>
      <c r="F157" s="66"/>
      <c r="G157" s="66"/>
      <c r="H157" s="66"/>
      <c r="I157" s="66"/>
      <c r="J157" s="66"/>
      <c r="K157" s="66"/>
      <c r="L157" s="66"/>
      <c r="M157" s="66"/>
      <c r="N157" s="66"/>
      <c r="O157" s="66"/>
    </row>
    <row r="158" spans="2:15" x14ac:dyDescent="0.55000000000000004">
      <c r="B158" s="200" t="s">
        <v>621</v>
      </c>
      <c r="C158" s="201">
        <v>4.4999999999999998E-2</v>
      </c>
      <c r="D158" s="66"/>
      <c r="E158" s="66"/>
      <c r="F158" s="66"/>
      <c r="G158" s="66"/>
      <c r="H158" s="66"/>
      <c r="I158" s="66"/>
      <c r="J158" s="66"/>
      <c r="K158" s="66"/>
      <c r="L158" s="66"/>
      <c r="M158" s="66"/>
      <c r="N158" s="66"/>
      <c r="O158" s="66"/>
    </row>
    <row r="159" spans="2:15" x14ac:dyDescent="0.55000000000000004">
      <c r="B159" s="200" t="s">
        <v>622</v>
      </c>
      <c r="C159" s="201">
        <v>0.02</v>
      </c>
      <c r="D159" s="66"/>
      <c r="E159" s="66"/>
      <c r="F159" s="66"/>
      <c r="G159" s="66"/>
      <c r="H159" s="66"/>
      <c r="I159" s="66"/>
      <c r="J159" s="66"/>
      <c r="K159" s="66"/>
      <c r="L159" s="66"/>
      <c r="M159" s="66"/>
      <c r="N159" s="66"/>
      <c r="O159" s="66"/>
    </row>
    <row r="160" spans="2:15" x14ac:dyDescent="0.55000000000000004">
      <c r="B160" s="200" t="s">
        <v>623</v>
      </c>
      <c r="C160" s="202">
        <f>C158+C159</f>
        <v>6.5000000000000002E-2</v>
      </c>
      <c r="D160" s="66"/>
      <c r="E160" s="66"/>
      <c r="F160" s="66"/>
      <c r="G160" s="66"/>
      <c r="H160" s="66"/>
      <c r="I160" s="66"/>
      <c r="J160" s="66"/>
      <c r="K160" s="66"/>
      <c r="L160" s="66"/>
      <c r="M160" s="66"/>
      <c r="N160" s="66"/>
      <c r="O160" s="66"/>
    </row>
    <row r="161" spans="2:15" x14ac:dyDescent="0.55000000000000004">
      <c r="B161" s="200" t="s">
        <v>624</v>
      </c>
      <c r="C161" s="202">
        <f>C160*(1-25%)</f>
        <v>4.8750000000000002E-2</v>
      </c>
      <c r="D161" s="66"/>
      <c r="E161" s="66"/>
      <c r="F161" s="66"/>
      <c r="G161" s="66"/>
      <c r="H161" s="66"/>
      <c r="I161" s="66"/>
      <c r="J161" s="66"/>
      <c r="K161" s="66"/>
      <c r="L161" s="66"/>
      <c r="M161" s="66"/>
      <c r="N161" s="66"/>
      <c r="O161" s="66"/>
    </row>
    <row r="162" spans="2:15" x14ac:dyDescent="0.55000000000000004">
      <c r="B162" s="200" t="s">
        <v>625</v>
      </c>
      <c r="C162" s="202">
        <v>0.04</v>
      </c>
      <c r="D162" s="66"/>
      <c r="E162" s="66"/>
      <c r="F162" s="66"/>
      <c r="G162" s="66"/>
      <c r="H162" s="66"/>
      <c r="I162" s="66"/>
      <c r="J162" s="66"/>
      <c r="K162" s="66"/>
      <c r="L162" s="66"/>
      <c r="M162" s="66"/>
      <c r="N162" s="66"/>
      <c r="O162" s="66"/>
    </row>
    <row r="163" spans="2:15" x14ac:dyDescent="0.55000000000000004">
      <c r="B163" s="200" t="s">
        <v>626</v>
      </c>
      <c r="C163" s="203">
        <v>1</v>
      </c>
      <c r="D163" s="66"/>
      <c r="E163" s="66"/>
      <c r="F163" s="66"/>
      <c r="G163" s="66"/>
      <c r="H163" s="66"/>
      <c r="I163" s="66"/>
      <c r="J163" s="66"/>
      <c r="K163" s="66"/>
      <c r="L163" s="66"/>
      <c r="M163" s="66"/>
      <c r="N163" s="66"/>
      <c r="O163" s="66"/>
    </row>
    <row r="164" spans="2:15" x14ac:dyDescent="0.55000000000000004">
      <c r="B164" s="200" t="s">
        <v>627</v>
      </c>
      <c r="C164" s="202">
        <f>C158+C163*C162</f>
        <v>8.4999999999999992E-2</v>
      </c>
      <c r="D164" s="66"/>
      <c r="E164" s="66"/>
      <c r="F164" s="66"/>
      <c r="G164" s="66"/>
      <c r="H164" s="66"/>
      <c r="I164" s="66"/>
      <c r="J164" s="66"/>
      <c r="K164" s="66"/>
      <c r="L164" s="66"/>
      <c r="M164" s="66"/>
      <c r="N164" s="66"/>
      <c r="O164" s="66"/>
    </row>
    <row r="165" spans="2:15" x14ac:dyDescent="0.55000000000000004">
      <c r="B165" s="200" t="s">
        <v>628</v>
      </c>
      <c r="C165" s="204">
        <v>0.4</v>
      </c>
      <c r="D165" s="66"/>
      <c r="E165" s="66"/>
      <c r="F165" s="66"/>
      <c r="G165" s="66"/>
      <c r="H165" s="66"/>
      <c r="I165" s="66"/>
      <c r="J165" s="66"/>
      <c r="K165" s="66"/>
      <c r="L165" s="66"/>
      <c r="M165" s="66"/>
      <c r="N165" s="66"/>
      <c r="O165" s="66"/>
    </row>
    <row r="166" spans="2:15" x14ac:dyDescent="0.55000000000000004">
      <c r="B166" s="200" t="s">
        <v>620</v>
      </c>
      <c r="C166" s="202">
        <f>C165*C161+C164*(1-C165)</f>
        <v>7.0500000000000007E-2</v>
      </c>
      <c r="D166" s="66"/>
      <c r="E166" s="66"/>
      <c r="F166" s="66"/>
      <c r="G166" s="66"/>
      <c r="H166" s="66"/>
      <c r="I166" s="66"/>
      <c r="J166" s="66"/>
      <c r="K166" s="66"/>
      <c r="L166" s="66"/>
      <c r="M166" s="66"/>
      <c r="N166" s="66"/>
      <c r="O166" s="66"/>
    </row>
    <row r="167" spans="2:15" x14ac:dyDescent="0.55000000000000004">
      <c r="B167" s="200"/>
      <c r="C167" s="202"/>
    </row>
    <row r="168" spans="2:15" x14ac:dyDescent="0.55000000000000004">
      <c r="B168" s="200"/>
      <c r="C168" s="202"/>
    </row>
    <row r="169" spans="2:15" x14ac:dyDescent="0.55000000000000004">
      <c r="B169" s="200" t="s">
        <v>1268</v>
      </c>
      <c r="C169" s="202"/>
    </row>
    <row r="170" spans="2:15" x14ac:dyDescent="0.55000000000000004">
      <c r="B170" s="363">
        <v>500</v>
      </c>
      <c r="C170" s="140">
        <f t="shared" ref="C170:C175" si="42">($E$13*B170+$G$12+$G$14+$G$17+$G$18-$G$19)/$G$21</f>
        <v>64.6713045151795</v>
      </c>
    </row>
    <row r="171" spans="2:15" x14ac:dyDescent="0.55000000000000004">
      <c r="B171" s="363">
        <f>B170+100</f>
        <v>600</v>
      </c>
      <c r="C171" s="140">
        <f t="shared" si="42"/>
        <v>74.002023138661272</v>
      </c>
    </row>
    <row r="172" spans="2:15" x14ac:dyDescent="0.55000000000000004">
      <c r="B172" s="363">
        <f>B171+100</f>
        <v>700</v>
      </c>
      <c r="C172" s="140">
        <f t="shared" si="42"/>
        <v>83.332741762143058</v>
      </c>
    </row>
    <row r="173" spans="2:15" x14ac:dyDescent="0.55000000000000004">
      <c r="B173" s="363">
        <f>B172+100</f>
        <v>800</v>
      </c>
      <c r="C173" s="140">
        <f t="shared" si="42"/>
        <v>92.66346038562483</v>
      </c>
    </row>
    <row r="174" spans="2:15" x14ac:dyDescent="0.55000000000000004">
      <c r="B174" s="363">
        <f>B173+100</f>
        <v>900</v>
      </c>
      <c r="C174" s="140">
        <f t="shared" si="42"/>
        <v>101.99417900910662</v>
      </c>
    </row>
    <row r="175" spans="2:15" x14ac:dyDescent="0.55000000000000004">
      <c r="B175" s="363">
        <f>B174+100</f>
        <v>1000</v>
      </c>
      <c r="C175" s="140">
        <f t="shared" si="42"/>
        <v>111.3248976325884</v>
      </c>
    </row>
    <row r="180" spans="2:6" x14ac:dyDescent="0.55000000000000004">
      <c r="B180" t="s">
        <v>1269</v>
      </c>
      <c r="C180" t="s">
        <v>1270</v>
      </c>
      <c r="D180" t="s">
        <v>1271</v>
      </c>
      <c r="E180" t="s">
        <v>1273</v>
      </c>
      <c r="F180" t="s">
        <v>1274</v>
      </c>
    </row>
    <row r="182" spans="2:6" x14ac:dyDescent="0.55000000000000004">
      <c r="B182" t="s">
        <v>1272</v>
      </c>
      <c r="C182">
        <v>1</v>
      </c>
      <c r="D182">
        <v>47.85</v>
      </c>
      <c r="E182">
        <f>C182+D182</f>
        <v>48.85</v>
      </c>
      <c r="F182">
        <f>C182+10*D182</f>
        <v>479.5</v>
      </c>
    </row>
    <row r="183" spans="2:6" x14ac:dyDescent="0.55000000000000004">
      <c r="E183" s="113">
        <f>E182/E185</f>
        <v>7.934148999582584E-2</v>
      </c>
      <c r="F183" s="113">
        <f>F182/F185</f>
        <v>0.41325519262259763</v>
      </c>
    </row>
    <row r="185" spans="2:6" x14ac:dyDescent="0.55000000000000004">
      <c r="B185" t="s">
        <v>277</v>
      </c>
      <c r="C185">
        <v>555.17999999999995</v>
      </c>
      <c r="D185">
        <v>60.512</v>
      </c>
      <c r="E185" s="114">
        <f>Master!H155</f>
        <v>615.69299999999998</v>
      </c>
      <c r="F185">
        <f>C185+10*D185</f>
        <v>1160.3</v>
      </c>
    </row>
  </sheetData>
  <pageMargins left="0.7" right="0.7" top="0.75" bottom="0.75" header="0.3" footer="0.3"/>
  <pageSetup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121726-B86E-4954-8D99-5FCF3CFFE3A0}">
  <dimension ref="B3:N31"/>
  <sheetViews>
    <sheetView showGridLines="0" zoomScale="76" workbookViewId="0">
      <selection activeCell="B3" sqref="B3:N30"/>
    </sheetView>
  </sheetViews>
  <sheetFormatPr defaultColWidth="8.9453125" defaultRowHeight="14.4" x14ac:dyDescent="0.55000000000000004"/>
  <cols>
    <col min="1" max="1" width="8.9453125" style="294"/>
    <col min="2" max="2" width="26.3125" style="294" customWidth="1"/>
    <col min="3" max="6" width="9.47265625" style="294" customWidth="1"/>
    <col min="7" max="7" width="11.89453125" style="294" customWidth="1"/>
    <col min="8" max="8" width="1.68359375" style="294" customWidth="1"/>
    <col min="9" max="9" width="26.3125" style="294" customWidth="1"/>
    <col min="10" max="13" width="9.47265625" style="294" customWidth="1"/>
    <col min="14" max="14" width="11.734375" style="294" customWidth="1"/>
    <col min="15" max="16384" width="8.9453125" style="294"/>
  </cols>
  <sheetData>
    <row r="3" spans="2:14" x14ac:dyDescent="0.55000000000000004">
      <c r="B3" s="291" t="s">
        <v>1138</v>
      </c>
      <c r="C3" s="292">
        <v>2024</v>
      </c>
      <c r="D3" s="292">
        <f>C3+1</f>
        <v>2025</v>
      </c>
      <c r="E3" s="292">
        <f>D3+1</f>
        <v>2026</v>
      </c>
      <c r="F3" s="292">
        <f>E3+1</f>
        <v>2027</v>
      </c>
      <c r="G3" s="291" t="s">
        <v>1152</v>
      </c>
      <c r="H3" s="293"/>
      <c r="I3" s="291" t="str">
        <f t="shared" ref="I3:N3" si="0">B3</f>
        <v>$ m</v>
      </c>
      <c r="J3" s="292">
        <f t="shared" si="0"/>
        <v>2024</v>
      </c>
      <c r="K3" s="292">
        <f t="shared" si="0"/>
        <v>2025</v>
      </c>
      <c r="L3" s="292">
        <f t="shared" si="0"/>
        <v>2026</v>
      </c>
      <c r="M3" s="292">
        <f t="shared" si="0"/>
        <v>2027</v>
      </c>
      <c r="N3" s="291" t="str">
        <f t="shared" si="0"/>
        <v>24e-27e CAGR</v>
      </c>
    </row>
    <row r="4" spans="2:14" x14ac:dyDescent="0.55000000000000004">
      <c r="B4" s="295" t="s">
        <v>1139</v>
      </c>
      <c r="C4" s="296">
        <f>Valuation!C32</f>
        <v>61.24</v>
      </c>
      <c r="D4" s="297"/>
      <c r="E4" s="297"/>
      <c r="F4" s="297"/>
      <c r="G4" s="298"/>
      <c r="H4" s="299"/>
      <c r="I4" s="318" t="s">
        <v>1157</v>
      </c>
      <c r="J4" s="300">
        <f>Valuation!D40</f>
        <v>1.6187200886611126</v>
      </c>
      <c r="K4" s="300">
        <f>Valuation!E40</f>
        <v>1.4832585787568509</v>
      </c>
      <c r="L4" s="300">
        <f>Valuation!F40</f>
        <v>1.3474453697261797</v>
      </c>
      <c r="M4" s="300">
        <f>Valuation!G40</f>
        <v>1.2130927071471873</v>
      </c>
      <c r="N4" s="319"/>
    </row>
    <row r="5" spans="2:14" x14ac:dyDescent="0.55000000000000004">
      <c r="B5" s="311" t="s">
        <v>1140</v>
      </c>
      <c r="C5" s="314">
        <f>Valuation!D35</f>
        <v>628.32000000000005</v>
      </c>
      <c r="D5" s="314">
        <f>Valuation!E35</f>
        <v>632.32000000000005</v>
      </c>
      <c r="E5" s="314">
        <f>Valuation!F35</f>
        <v>630.32000000000005</v>
      </c>
      <c r="F5" s="314">
        <f>Valuation!G35</f>
        <v>618.32000000000005</v>
      </c>
      <c r="G5" s="312"/>
      <c r="H5" s="299"/>
      <c r="I5" s="299" t="s">
        <v>287</v>
      </c>
      <c r="J5" s="310">
        <f>Valuation!D41</f>
        <v>4.5026947818826413</v>
      </c>
      <c r="K5" s="310">
        <f>Valuation!E41</f>
        <v>3.9651055220125122</v>
      </c>
      <c r="L5" s="310">
        <f>Valuation!F41</f>
        <v>3.4926802209713039</v>
      </c>
      <c r="M5" s="310">
        <f>Valuation!G41</f>
        <v>3.0715668709425064</v>
      </c>
      <c r="N5" s="299"/>
    </row>
    <row r="6" spans="2:14" x14ac:dyDescent="0.55000000000000004">
      <c r="B6" s="301" t="s">
        <v>335</v>
      </c>
      <c r="C6" s="302">
        <f>$C$4*C5</f>
        <v>38478.316800000008</v>
      </c>
      <c r="D6" s="302">
        <f>$C$4*D5</f>
        <v>38723.276800000007</v>
      </c>
      <c r="E6" s="302">
        <f>$C$4*E5</f>
        <v>38600.796800000004</v>
      </c>
      <c r="F6" s="302">
        <f>$C$4*F5</f>
        <v>37865.916800000006</v>
      </c>
      <c r="G6" s="303"/>
      <c r="H6" s="299"/>
      <c r="I6" s="308" t="s">
        <v>1160</v>
      </c>
      <c r="J6" s="300">
        <f>Valuation!D43</f>
        <v>27.703573831089649</v>
      </c>
      <c r="K6" s="300">
        <f>Valuation!E43</f>
        <v>19.495241065836538</v>
      </c>
      <c r="L6" s="300">
        <f>Valuation!F43</f>
        <v>14.710555088857689</v>
      </c>
      <c r="M6" s="300">
        <f>Valuation!G43</f>
        <v>12.164018658365997</v>
      </c>
      <c r="N6" s="309"/>
    </row>
    <row r="7" spans="2:14" x14ac:dyDescent="0.55000000000000004">
      <c r="B7" s="311" t="s">
        <v>636</v>
      </c>
      <c r="C7" s="314">
        <f>Valuation!D37</f>
        <v>1584</v>
      </c>
      <c r="D7" s="314">
        <f>Valuation!E37</f>
        <v>1584</v>
      </c>
      <c r="E7" s="314">
        <f>Valuation!F37</f>
        <v>1584</v>
      </c>
      <c r="F7" s="314">
        <f>Valuation!G37</f>
        <v>1584</v>
      </c>
      <c r="G7" s="312"/>
      <c r="H7" s="299"/>
      <c r="I7" s="311" t="s">
        <v>1161</v>
      </c>
      <c r="J7" s="310">
        <f>Valuation!D45</f>
        <v>27.460769226453074</v>
      </c>
      <c r="K7" s="310">
        <f>Valuation!E45</f>
        <v>22.783109989354415</v>
      </c>
      <c r="L7" s="310">
        <f>Valuation!F45</f>
        <v>16.682842148264374</v>
      </c>
      <c r="M7" s="310">
        <f>Valuation!G45</f>
        <v>14.399590726713296</v>
      </c>
      <c r="N7" s="312"/>
    </row>
    <row r="8" spans="2:14" x14ac:dyDescent="0.55000000000000004">
      <c r="B8" s="320" t="s">
        <v>1141</v>
      </c>
      <c r="C8" s="332">
        <v>0</v>
      </c>
      <c r="D8" s="332">
        <v>0</v>
      </c>
      <c r="E8" s="332">
        <v>0</v>
      </c>
      <c r="F8" s="332">
        <v>0</v>
      </c>
      <c r="G8" s="321"/>
      <c r="H8" s="299"/>
      <c r="I8" s="308" t="s">
        <v>1162</v>
      </c>
      <c r="J8" s="300">
        <f>Valuation!D46</f>
        <v>16.43227118128036</v>
      </c>
      <c r="K8" s="300">
        <f>Valuation!E46</f>
        <v>14.019363783325769</v>
      </c>
      <c r="L8" s="300">
        <f>Valuation!F46</f>
        <v>11.32688820181308</v>
      </c>
      <c r="M8" s="300">
        <f>Valuation!G46</f>
        <v>10.080394658329093</v>
      </c>
      <c r="N8" s="309"/>
    </row>
    <row r="9" spans="2:14" x14ac:dyDescent="0.55000000000000004">
      <c r="B9" s="311" t="s">
        <v>166</v>
      </c>
      <c r="C9" s="314">
        <f>C6+C7+C8</f>
        <v>40062.316800000008</v>
      </c>
      <c r="D9" s="314">
        <f>D6+D7+D8</f>
        <v>40307.276800000007</v>
      </c>
      <c r="E9" s="314">
        <f>E6+E7+E8</f>
        <v>40184.796800000004</v>
      </c>
      <c r="F9" s="314">
        <f>F6+F7+F8</f>
        <v>39449.916800000006</v>
      </c>
      <c r="G9" s="312"/>
      <c r="H9" s="299"/>
      <c r="I9" s="311" t="s">
        <v>1163</v>
      </c>
      <c r="J9" s="310">
        <f>Valuation!D47</f>
        <v>28.854818182552819</v>
      </c>
      <c r="K9" s="310">
        <f>Valuation!E47</f>
        <v>22.398824705393583</v>
      </c>
      <c r="L9" s="310">
        <f>Valuation!F47</f>
        <v>16.434695702402106</v>
      </c>
      <c r="M9" s="310">
        <f>Valuation!G47</f>
        <v>14.177950622781264</v>
      </c>
      <c r="N9" s="299"/>
    </row>
    <row r="10" spans="2:14" x14ac:dyDescent="0.55000000000000004">
      <c r="B10" s="350"/>
      <c r="C10" s="350"/>
      <c r="D10" s="350"/>
      <c r="E10" s="350"/>
      <c r="F10" s="350"/>
      <c r="G10" s="350"/>
      <c r="H10" s="299"/>
      <c r="I10" s="350" t="s">
        <v>1228</v>
      </c>
      <c r="J10" s="359">
        <f>Valuation!D49</f>
        <v>5.0415940643408763E-2</v>
      </c>
      <c r="K10" s="359">
        <f>Valuation!E49</f>
        <v>6.8434409602252971E-2</v>
      </c>
      <c r="L10" s="359">
        <f>Valuation!F49</f>
        <v>8.78120654786268E-2</v>
      </c>
      <c r="M10" s="359">
        <f>Valuation!G49</f>
        <v>0.10113498247199476</v>
      </c>
      <c r="N10" s="309"/>
    </row>
    <row r="11" spans="2:14" x14ac:dyDescent="0.55000000000000004">
      <c r="B11" s="313" t="s">
        <v>1170</v>
      </c>
      <c r="C11" s="314"/>
      <c r="D11" s="314"/>
      <c r="E11" s="314"/>
      <c r="F11" s="314"/>
      <c r="G11" s="312"/>
      <c r="H11" s="305"/>
      <c r="I11" s="313" t="s">
        <v>1171</v>
      </c>
      <c r="J11" s="314"/>
      <c r="K11" s="314"/>
      <c r="L11" s="314"/>
      <c r="M11" s="314"/>
      <c r="N11" s="312"/>
    </row>
    <row r="12" spans="2:14" x14ac:dyDescent="0.55000000000000004">
      <c r="B12" s="308" t="s">
        <v>90</v>
      </c>
      <c r="C12" s="306">
        <f>Master!I41</f>
        <v>24749.378895480713</v>
      </c>
      <c r="D12" s="306">
        <f>Master!J41</f>
        <v>27174.814545001558</v>
      </c>
      <c r="E12" s="306">
        <f>Master!K41</f>
        <v>29822.950676038268</v>
      </c>
      <c r="F12" s="306">
        <f>Master!L41</f>
        <v>32520.117026153595</v>
      </c>
      <c r="G12" s="307">
        <f>(F12/C12)^(1/3)-1</f>
        <v>9.5290359450213025E-2</v>
      </c>
      <c r="H12" s="305"/>
      <c r="I12" s="308" t="s">
        <v>179</v>
      </c>
      <c r="J12" s="306">
        <f>Master!I54</f>
        <v>8897.4089385755287</v>
      </c>
      <c r="K12" s="306">
        <f>Master!J54</f>
        <v>10165.499146550281</v>
      </c>
      <c r="L12" s="306">
        <f>Master!K54</f>
        <v>11505.432578315094</v>
      </c>
      <c r="M12" s="306">
        <f>Master!L54</f>
        <v>12843.580640617745</v>
      </c>
      <c r="N12" s="307">
        <f>(M12/J12)^(1/3)-1</f>
        <v>0.13016240150196956</v>
      </c>
    </row>
    <row r="13" spans="2:14" x14ac:dyDescent="0.55000000000000004">
      <c r="B13" s="311" t="s">
        <v>156</v>
      </c>
      <c r="C13" s="314">
        <f>Master!I54</f>
        <v>8897.4089385755287</v>
      </c>
      <c r="D13" s="314">
        <f>Master!J54</f>
        <v>10165.499146550281</v>
      </c>
      <c r="E13" s="314">
        <f>Master!K54</f>
        <v>11505.432578315094</v>
      </c>
      <c r="F13" s="314">
        <f>Master!L54</f>
        <v>12843.580640617745</v>
      </c>
      <c r="G13" s="304">
        <f>(F13/C13)^(1/3)-1</f>
        <v>0.13016240150196956</v>
      </c>
      <c r="H13" s="305"/>
      <c r="I13" s="315" t="s">
        <v>163</v>
      </c>
      <c r="J13" s="314">
        <f>Master!I22</f>
        <v>5228.1856713199995</v>
      </c>
      <c r="K13" s="314">
        <f>Master!J22</f>
        <v>6054.8919508439994</v>
      </c>
      <c r="L13" s="314">
        <f>Master!K22</f>
        <v>6856.1205770304005</v>
      </c>
      <c r="M13" s="314">
        <f>Master!L22</f>
        <v>7719.7285466929443</v>
      </c>
      <c r="N13" s="304">
        <f>(M13/J13)^(1/3)-1</f>
        <v>0.13872015845122698</v>
      </c>
    </row>
    <row r="14" spans="2:14" x14ac:dyDescent="0.55000000000000004">
      <c r="B14" s="301" t="s">
        <v>1179</v>
      </c>
      <c r="C14" s="326">
        <f>Master!I55</f>
        <v>0.35950029195278971</v>
      </c>
      <c r="D14" s="326">
        <f>Master!J55</f>
        <v>0.37407795846099301</v>
      </c>
      <c r="E14" s="326">
        <f>Master!K55</f>
        <v>0.38579122177737163</v>
      </c>
      <c r="F14" s="326">
        <f>Master!L55</f>
        <v>0.3949426329028452</v>
      </c>
      <c r="G14" s="307"/>
      <c r="H14" s="305"/>
      <c r="I14" s="323" t="s">
        <v>162</v>
      </c>
      <c r="J14" s="306">
        <f>Master!I13</f>
        <v>3603.2232672555301</v>
      </c>
      <c r="K14" s="306">
        <f>Master!J13</f>
        <v>4042.9571957062817</v>
      </c>
      <c r="L14" s="306">
        <f>Master!K13</f>
        <v>4579.9707512846944</v>
      </c>
      <c r="M14" s="306">
        <f>Master!L13</f>
        <v>5052.7773126748025</v>
      </c>
      <c r="N14" s="307">
        <f>(M14/J14)^(1/3)-1</f>
        <v>0.11929954794868869</v>
      </c>
    </row>
    <row r="15" spans="2:14" x14ac:dyDescent="0.55000000000000004">
      <c r="B15" s="311" t="s">
        <v>1142</v>
      </c>
      <c r="C15" s="314">
        <f>Master!I74</f>
        <v>1027.1064498126616</v>
      </c>
      <c r="D15" s="314">
        <f>Master!J74</f>
        <v>1700.5444157822949</v>
      </c>
      <c r="E15" s="314">
        <f>Master!K74</f>
        <v>2364.6981961093661</v>
      </c>
      <c r="F15" s="314">
        <f>Master!L74</f>
        <v>2876.1647721016689</v>
      </c>
      <c r="G15" s="304">
        <f>(F15/C15)^(1/3)-1</f>
        <v>0.4095033164656825</v>
      </c>
      <c r="H15" s="299"/>
      <c r="I15" s="315" t="s">
        <v>321</v>
      </c>
      <c r="J15" s="314">
        <f>Master!I31</f>
        <v>66</v>
      </c>
      <c r="K15" s="314">
        <f>Master!J31</f>
        <v>67.649999999999991</v>
      </c>
      <c r="L15" s="314">
        <f>Master!K31</f>
        <v>69.341249999999988</v>
      </c>
      <c r="M15" s="314">
        <f>Master!L31</f>
        <v>71.074781249999972</v>
      </c>
      <c r="N15" s="304">
        <f>(M15/J15)^(1/3)-1</f>
        <v>2.4999999999999911E-2</v>
      </c>
    </row>
    <row r="16" spans="2:14" x14ac:dyDescent="0.55000000000000004">
      <c r="B16" s="350" t="s">
        <v>1145</v>
      </c>
      <c r="C16" s="306">
        <f>Master!I86</f>
        <v>419</v>
      </c>
      <c r="D16" s="306">
        <f>Master!J86</f>
        <v>367</v>
      </c>
      <c r="E16" s="306">
        <f>Master!K86</f>
        <v>367</v>
      </c>
      <c r="F16" s="306">
        <f>Master!L86</f>
        <v>367</v>
      </c>
      <c r="G16" s="307">
        <f>(F16/C16)^(1/3)-1</f>
        <v>-4.3208414862801248E-2</v>
      </c>
      <c r="H16" s="305"/>
      <c r="I16" s="350"/>
      <c r="J16" s="350"/>
      <c r="K16" s="350"/>
      <c r="L16" s="350"/>
      <c r="M16" s="350"/>
      <c r="N16" s="350"/>
    </row>
    <row r="17" spans="2:14" x14ac:dyDescent="0.55000000000000004">
      <c r="B17" s="334" t="s">
        <v>1144</v>
      </c>
      <c r="C17" s="335">
        <f>Master!I87</f>
        <v>1446.1064498126616</v>
      </c>
      <c r="D17" s="335">
        <f>Master!J87</f>
        <v>2067.5444157822949</v>
      </c>
      <c r="E17" s="335">
        <f>Master!K87</f>
        <v>2731.6981961093661</v>
      </c>
      <c r="F17" s="335">
        <f>Master!L87</f>
        <v>3243.1647721016689</v>
      </c>
      <c r="G17" s="336">
        <f>(F17/C17)^(1/3)-1</f>
        <v>0.30894957655528565</v>
      </c>
      <c r="H17" s="305"/>
      <c r="I17" s="313" t="s">
        <v>1155</v>
      </c>
      <c r="J17" s="314"/>
      <c r="K17" s="314"/>
      <c r="L17" s="314"/>
      <c r="M17" s="314"/>
      <c r="N17" s="304"/>
    </row>
    <row r="18" spans="2:14" x14ac:dyDescent="0.55000000000000004">
      <c r="B18" s="350" t="s">
        <v>1172</v>
      </c>
      <c r="C18" s="326">
        <f>Master!I88</f>
        <v>0.16253118855118989</v>
      </c>
      <c r="D18" s="326">
        <f>Master!J88</f>
        <v>0.20338838122709671</v>
      </c>
      <c r="E18" s="326">
        <f>Master!K88</f>
        <v>0.23742681359568732</v>
      </c>
      <c r="F18" s="326">
        <f>Master!L88</f>
        <v>0.25251250899964611</v>
      </c>
      <c r="G18" s="326"/>
      <c r="H18" s="305"/>
      <c r="I18" s="324" t="s">
        <v>1168</v>
      </c>
      <c r="J18" s="306">
        <f>Master!I242</f>
        <v>59</v>
      </c>
      <c r="K18" s="306">
        <f>Master!J242</f>
        <v>61</v>
      </c>
      <c r="L18" s="306">
        <f>Master!K242</f>
        <v>62.75</v>
      </c>
      <c r="M18" s="306">
        <f>Master!L242</f>
        <v>64.25</v>
      </c>
      <c r="N18" s="307">
        <f t="shared" ref="N18:N23" si="1">(M18/J18)^(1/3)-1</f>
        <v>2.8822310238334925E-2</v>
      </c>
    </row>
    <row r="19" spans="2:14" x14ac:dyDescent="0.55000000000000004">
      <c r="B19" s="351" t="s">
        <v>1174</v>
      </c>
      <c r="C19" s="333">
        <f>Master!I92</f>
        <v>0.34808003480621996</v>
      </c>
      <c r="D19" s="333">
        <f>Master!J92</f>
        <v>0.34591192001565685</v>
      </c>
      <c r="E19" s="333">
        <f>Master!K92</f>
        <v>0.36923868160607698</v>
      </c>
      <c r="F19" s="333">
        <f>Master!L92</f>
        <v>0.36881826744846197</v>
      </c>
      <c r="G19" s="351"/>
      <c r="H19" s="305"/>
      <c r="I19" s="316" t="s">
        <v>1167</v>
      </c>
      <c r="J19" s="314">
        <f>Master!I245</f>
        <v>287.99425571428571</v>
      </c>
      <c r="K19" s="314">
        <f>Master!J245</f>
        <v>333.48758559999999</v>
      </c>
      <c r="L19" s="314">
        <f>Master!K245</f>
        <v>384.22143468800004</v>
      </c>
      <c r="M19" s="314">
        <f>Master!L245</f>
        <v>432.74661189760013</v>
      </c>
      <c r="N19" s="304">
        <f t="shared" si="1"/>
        <v>0.14538093587482437</v>
      </c>
    </row>
    <row r="20" spans="2:14" x14ac:dyDescent="0.55000000000000004">
      <c r="B20" s="308" t="s">
        <v>1153</v>
      </c>
      <c r="C20" s="306">
        <f>Master!I113</f>
        <v>1401.2104498126616</v>
      </c>
      <c r="D20" s="306">
        <f>Master!J113</f>
        <v>1699.6484157822949</v>
      </c>
      <c r="E20" s="306">
        <f>Master!K113</f>
        <v>2313.8021961093659</v>
      </c>
      <c r="F20" s="306">
        <f>Master!L113</f>
        <v>2629.6522948915017</v>
      </c>
      <c r="G20" s="307">
        <f t="shared" ref="G20:G26" si="2">(F20/C20)^(1/3)-1</f>
        <v>0.2334786972891274</v>
      </c>
      <c r="H20" s="305"/>
      <c r="I20" s="324" t="s">
        <v>1175</v>
      </c>
      <c r="J20" s="300">
        <f>Master!I250</f>
        <v>5</v>
      </c>
      <c r="K20" s="300">
        <f>Master!J250</f>
        <v>5.7898305084745765</v>
      </c>
      <c r="L20" s="300">
        <f>Master!K250</f>
        <v>6.6706440677966121</v>
      </c>
      <c r="M20" s="300">
        <f>Master!L250</f>
        <v>7.5131118644067838</v>
      </c>
      <c r="N20" s="307">
        <f t="shared" si="1"/>
        <v>0.14538093587482437</v>
      </c>
    </row>
    <row r="21" spans="2:14" x14ac:dyDescent="0.55000000000000004">
      <c r="B21" s="330" t="s">
        <v>1178</v>
      </c>
      <c r="C21" s="314">
        <f>C24-C20</f>
        <v>940.42062330609883</v>
      </c>
      <c r="D21" s="314">
        <f>D24-D20</f>
        <v>1062.4795522540555</v>
      </c>
      <c r="E21" s="314">
        <f>E24-E20</f>
        <v>1094.0884895090571</v>
      </c>
      <c r="F21" s="314">
        <f>F24-F20</f>
        <v>1126.7399976178663</v>
      </c>
      <c r="G21" s="304">
        <f t="shared" si="2"/>
        <v>6.2104353385893374E-2</v>
      </c>
      <c r="H21" s="305"/>
      <c r="I21" s="316" t="s">
        <v>1166</v>
      </c>
      <c r="J21" s="314">
        <f>Master!I301</f>
        <v>26</v>
      </c>
      <c r="K21" s="314">
        <f>Master!J301</f>
        <v>28.060000000000002</v>
      </c>
      <c r="L21" s="314">
        <f>Master!K301</f>
        <v>30.119999999999997</v>
      </c>
      <c r="M21" s="314">
        <f>Master!L301</f>
        <v>32.125</v>
      </c>
      <c r="N21" s="304">
        <f t="shared" si="1"/>
        <v>7.3058163272460952E-2</v>
      </c>
    </row>
    <row r="22" spans="2:14" x14ac:dyDescent="0.55000000000000004">
      <c r="B22" s="352" t="s">
        <v>1146</v>
      </c>
      <c r="C22" s="353">
        <f>Master!I121</f>
        <v>1276.097</v>
      </c>
      <c r="D22" s="353">
        <f>Master!J121</f>
        <v>1307.999425</v>
      </c>
      <c r="E22" s="353">
        <f>Master!K121</f>
        <v>1340.6994106249999</v>
      </c>
      <c r="F22" s="353">
        <f>Master!L121</f>
        <v>1374.2168958906248</v>
      </c>
      <c r="G22" s="307">
        <f t="shared" si="2"/>
        <v>2.4999999999999911E-2</v>
      </c>
      <c r="H22" s="305"/>
      <c r="I22" s="324" t="s">
        <v>1165</v>
      </c>
      <c r="J22" s="306">
        <f>Master!I312</f>
        <v>5.4864416666666669</v>
      </c>
      <c r="K22" s="306">
        <f>Master!J312</f>
        <v>13.441782083333335</v>
      </c>
      <c r="L22" s="306">
        <f>Master!K312</f>
        <v>24.195207750000002</v>
      </c>
      <c r="M22" s="306">
        <f>Master!L312</f>
        <v>36.292811624999999</v>
      </c>
      <c r="N22" s="307">
        <f t="shared" si="1"/>
        <v>0.87719742370279197</v>
      </c>
    </row>
    <row r="23" spans="2:14" x14ac:dyDescent="0.55000000000000004">
      <c r="B23" s="354" t="s">
        <v>1147</v>
      </c>
      <c r="C23" s="355">
        <f>C21-C22</f>
        <v>-335.67637669390115</v>
      </c>
      <c r="D23" s="355">
        <f>D21-D22</f>
        <v>-245.51987274594444</v>
      </c>
      <c r="E23" s="355">
        <f>E21-E22</f>
        <v>-246.6109211159428</v>
      </c>
      <c r="F23" s="355">
        <f>F21-F22</f>
        <v>-247.47689827275849</v>
      </c>
      <c r="G23" s="304">
        <f t="shared" si="2"/>
        <v>-9.6618286617062066E-2</v>
      </c>
      <c r="H23" s="305"/>
      <c r="I23" s="316" t="s">
        <v>1164</v>
      </c>
      <c r="J23" s="355">
        <f>Master!I331</f>
        <v>5400</v>
      </c>
      <c r="K23" s="355">
        <f>Master!J331</f>
        <v>6615</v>
      </c>
      <c r="L23" s="355">
        <f>Master!K331</f>
        <v>7938.0000000000009</v>
      </c>
      <c r="M23" s="355">
        <f>Master!L331</f>
        <v>9376.7625000000007</v>
      </c>
      <c r="N23" s="304">
        <f t="shared" si="1"/>
        <v>0.20194995468099841</v>
      </c>
    </row>
    <row r="24" spans="2:14" x14ac:dyDescent="0.55000000000000004">
      <c r="B24" s="308" t="s">
        <v>1151</v>
      </c>
      <c r="C24" s="306">
        <f>Master!I127</f>
        <v>2341.6310731187605</v>
      </c>
      <c r="D24" s="306">
        <f>Master!J127</f>
        <v>2762.1279680363505</v>
      </c>
      <c r="E24" s="306">
        <f>Master!K127</f>
        <v>3407.890685618423</v>
      </c>
      <c r="F24" s="306">
        <f>Master!L127</f>
        <v>3756.392292509368</v>
      </c>
      <c r="G24" s="307">
        <f t="shared" si="2"/>
        <v>0.17062417709929112</v>
      </c>
      <c r="H24" s="305"/>
      <c r="I24" s="350"/>
      <c r="J24" s="350"/>
      <c r="K24" s="350"/>
      <c r="L24" s="350"/>
      <c r="M24" s="350"/>
      <c r="N24" s="350"/>
    </row>
    <row r="25" spans="2:14" x14ac:dyDescent="0.55000000000000004">
      <c r="B25" s="351" t="s">
        <v>1148</v>
      </c>
      <c r="C25" s="335">
        <f>Master!I130</f>
        <v>1333.5144431187605</v>
      </c>
      <c r="D25" s="335">
        <f>Master!J130</f>
        <v>1728.8084222863504</v>
      </c>
      <c r="E25" s="335">
        <f>Master!K130</f>
        <v>2348.7381512246729</v>
      </c>
      <c r="F25" s="335">
        <f>Master!L130</f>
        <v>2670.7609447557743</v>
      </c>
      <c r="G25" s="336">
        <f t="shared" si="2"/>
        <v>0.26050845854632643</v>
      </c>
      <c r="H25" s="299"/>
      <c r="I25" s="313" t="s">
        <v>1156</v>
      </c>
      <c r="J25" s="317"/>
      <c r="K25" s="317"/>
      <c r="L25" s="317"/>
      <c r="M25" s="317"/>
      <c r="N25" s="312"/>
    </row>
    <row r="26" spans="2:14" x14ac:dyDescent="0.55000000000000004">
      <c r="B26" s="348" t="s">
        <v>1240</v>
      </c>
      <c r="C26" s="349">
        <f>Master!I191</f>
        <v>1939.9205358470786</v>
      </c>
      <c r="D26" s="349">
        <f>Master!J191</f>
        <v>2650.0045856726201</v>
      </c>
      <c r="E26" s="349">
        <f>Master!K191</f>
        <v>3389.6156961287684</v>
      </c>
      <c r="F26" s="349">
        <f>Master!L191</f>
        <v>3829.5688318540124</v>
      </c>
      <c r="G26" s="360">
        <f t="shared" si="2"/>
        <v>0.25445565358583289</v>
      </c>
      <c r="H26" s="299"/>
      <c r="I26" s="324" t="s">
        <v>1169</v>
      </c>
      <c r="J26" s="306">
        <f>Master!I211</f>
        <v>230.56349651939999</v>
      </c>
      <c r="K26" s="306">
        <f>Master!J211</f>
        <v>255.92548113653402</v>
      </c>
      <c r="L26" s="306">
        <f>Master!K211</f>
        <v>291.75504849564879</v>
      </c>
      <c r="M26" s="306">
        <f>Master!L211</f>
        <v>326.76565431512665</v>
      </c>
      <c r="N26" s="307">
        <f>(M26/J26)^(1/3)-1</f>
        <v>0.12326428638307774</v>
      </c>
    </row>
    <row r="27" spans="2:14" x14ac:dyDescent="0.55000000000000004">
      <c r="B27" s="299" t="s">
        <v>1149</v>
      </c>
      <c r="C27" s="331">
        <f>C20/C5</f>
        <v>2.2300904790754097</v>
      </c>
      <c r="D27" s="331">
        <f>D20/D5</f>
        <v>2.6879561231374853</v>
      </c>
      <c r="E27" s="331">
        <f>E20/E5</f>
        <v>3.6708373462834207</v>
      </c>
      <c r="F27" s="331">
        <f>F20/F5</f>
        <v>4.2528986526256656</v>
      </c>
      <c r="G27" s="304">
        <f>(F27/C27)^(1/3)-1</f>
        <v>0.24009279237882653</v>
      </c>
      <c r="H27" s="299"/>
      <c r="I27" s="299"/>
      <c r="J27" s="299"/>
      <c r="K27" s="299"/>
      <c r="L27" s="299"/>
      <c r="M27" s="299"/>
      <c r="N27" s="299"/>
    </row>
    <row r="28" spans="2:14" x14ac:dyDescent="0.55000000000000004">
      <c r="B28" s="350" t="s">
        <v>1154</v>
      </c>
      <c r="C28" s="327">
        <f>C24/C5</f>
        <v>3.7268128869346198</v>
      </c>
      <c r="D28" s="327">
        <f>D24/D5</f>
        <v>4.3682438765757059</v>
      </c>
      <c r="E28" s="327">
        <f>E24/E5</f>
        <v>5.4066040830346855</v>
      </c>
      <c r="F28" s="327">
        <f>F24/F5</f>
        <v>6.0751589670548709</v>
      </c>
      <c r="G28" s="307">
        <f>(F28/C28)^(1/3)-1</f>
        <v>0.17690123696149374</v>
      </c>
      <c r="H28" s="299"/>
      <c r="I28" s="322" t="s">
        <v>390</v>
      </c>
      <c r="J28" s="350"/>
      <c r="K28" s="350"/>
      <c r="L28" s="350"/>
      <c r="M28" s="350"/>
      <c r="N28" s="350"/>
    </row>
    <row r="29" spans="2:14" x14ac:dyDescent="0.55000000000000004">
      <c r="B29" s="299" t="s">
        <v>1150</v>
      </c>
      <c r="C29" s="331">
        <f>C25/C5</f>
        <v>2.1223491900922467</v>
      </c>
      <c r="D29" s="331">
        <f>D25/D5</f>
        <v>2.7340720241117635</v>
      </c>
      <c r="E29" s="331">
        <f>E25/E5</f>
        <v>3.7262630905328606</v>
      </c>
      <c r="F29" s="331">
        <f>F25/F5</f>
        <v>4.3193830779463287</v>
      </c>
      <c r="G29" s="304">
        <f>(F29/C29)^(1/3)-1</f>
        <v>0.26726749121103177</v>
      </c>
      <c r="H29" s="299"/>
      <c r="I29" s="316" t="s">
        <v>1180</v>
      </c>
      <c r="J29" s="355">
        <f>Master!I279</f>
        <v>178074.77866403305</v>
      </c>
      <c r="K29" s="355">
        <f>Master!J279</f>
        <v>186166.71920000002</v>
      </c>
      <c r="L29" s="355">
        <f>Master!K279</f>
        <v>195475.05516000005</v>
      </c>
      <c r="M29" s="355">
        <f>Master!L279</f>
        <v>205248.80791800006</v>
      </c>
      <c r="N29" s="304">
        <f>(M29/J29)^(1/3)-1</f>
        <v>4.8478212172004653E-2</v>
      </c>
    </row>
    <row r="30" spans="2:14" x14ac:dyDescent="0.55000000000000004">
      <c r="B30" s="356" t="s">
        <v>1143</v>
      </c>
      <c r="C30" s="328">
        <v>0</v>
      </c>
      <c r="D30" s="328">
        <v>0</v>
      </c>
      <c r="E30" s="328">
        <v>0</v>
      </c>
      <c r="F30" s="328">
        <v>0</v>
      </c>
      <c r="G30" s="329" t="s">
        <v>1177</v>
      </c>
      <c r="H30" s="299"/>
      <c r="I30" s="325" t="s">
        <v>1176</v>
      </c>
      <c r="J30" s="357">
        <f>Master!I278</f>
        <v>59739.5</v>
      </c>
      <c r="K30" s="357">
        <f>Master!J278</f>
        <v>60000</v>
      </c>
      <c r="L30" s="357">
        <f>Master!K278</f>
        <v>60000</v>
      </c>
      <c r="M30" s="357">
        <f>Master!L278</f>
        <v>60000</v>
      </c>
      <c r="N30" s="329">
        <f>(M30/J30)^(1/3)-1</f>
        <v>1.4514253232242869E-3</v>
      </c>
    </row>
    <row r="31" spans="2:14" x14ac:dyDescent="0.55000000000000004">
      <c r="B31" s="299" t="s">
        <v>1173</v>
      </c>
    </row>
  </sheetData>
  <pageMargins left="0.7" right="0.7" top="0.75" bottom="0.75" header="0.3" footer="0.3"/>
  <pageSetup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3CD49-5E2A-4806-947E-47777CC8E910}">
  <dimension ref="B2:AG99"/>
  <sheetViews>
    <sheetView zoomScale="69" workbookViewId="0">
      <selection activeCell="J1" sqref="J1"/>
    </sheetView>
  </sheetViews>
  <sheetFormatPr defaultRowHeight="14.4" x14ac:dyDescent="0.55000000000000004"/>
  <cols>
    <col min="2" max="2" width="16" bestFit="1" customWidth="1"/>
    <col min="3" max="12" width="11.15625" customWidth="1"/>
    <col min="13" max="21" width="9" customWidth="1"/>
  </cols>
  <sheetData>
    <row r="2" spans="2:33" x14ac:dyDescent="0.55000000000000004">
      <c r="B2" s="66"/>
      <c r="C2" s="66"/>
      <c r="D2" s="66"/>
      <c r="E2" s="66"/>
      <c r="F2" s="66"/>
      <c r="G2" s="66"/>
      <c r="H2" s="66"/>
      <c r="I2" s="66"/>
      <c r="J2" s="66"/>
      <c r="K2" s="66"/>
      <c r="L2" s="66"/>
      <c r="M2" s="196" t="s">
        <v>595</v>
      </c>
      <c r="N2" s="196" t="s">
        <v>587</v>
      </c>
      <c r="O2" s="196" t="s">
        <v>588</v>
      </c>
      <c r="P2" s="196" t="s">
        <v>589</v>
      </c>
      <c r="Q2" s="196" t="s">
        <v>590</v>
      </c>
      <c r="R2" s="196" t="s">
        <v>591</v>
      </c>
      <c r="S2" s="196" t="s">
        <v>592</v>
      </c>
      <c r="T2" s="196" t="s">
        <v>593</v>
      </c>
      <c r="U2" s="196" t="s">
        <v>594</v>
      </c>
      <c r="V2" s="66"/>
      <c r="W2" s="66"/>
      <c r="X2" s="66"/>
      <c r="Y2" s="66"/>
      <c r="Z2" s="66"/>
      <c r="AA2" s="66"/>
      <c r="AB2" s="66"/>
      <c r="AC2" s="66"/>
      <c r="AD2" s="66"/>
      <c r="AE2" s="66"/>
      <c r="AF2" s="66"/>
      <c r="AG2" s="66"/>
    </row>
    <row r="3" spans="2:33" x14ac:dyDescent="0.55000000000000004">
      <c r="B3" s="68" t="s">
        <v>148</v>
      </c>
      <c r="C3" s="68">
        <v>2023</v>
      </c>
      <c r="D3" s="198" t="s">
        <v>144</v>
      </c>
      <c r="E3" s="198" t="s">
        <v>338</v>
      </c>
      <c r="F3" s="198" t="s">
        <v>146</v>
      </c>
      <c r="G3" s="198" t="s">
        <v>147</v>
      </c>
      <c r="H3" s="68">
        <v>2024</v>
      </c>
      <c r="I3" s="68">
        <f>H3+1</f>
        <v>2025</v>
      </c>
      <c r="J3" s="68">
        <f>I3+1</f>
        <v>2026</v>
      </c>
      <c r="K3" s="68">
        <f>J3+1</f>
        <v>2027</v>
      </c>
      <c r="L3" s="66"/>
      <c r="M3" s="68">
        <v>2023</v>
      </c>
      <c r="N3" s="92" t="s">
        <v>144</v>
      </c>
      <c r="O3" s="92" t="s">
        <v>145</v>
      </c>
      <c r="P3" s="92" t="s">
        <v>146</v>
      </c>
      <c r="Q3" s="92" t="s">
        <v>147</v>
      </c>
      <c r="R3" s="68">
        <v>2024</v>
      </c>
      <c r="S3" s="68">
        <f>R3+1</f>
        <v>2025</v>
      </c>
      <c r="T3" s="68">
        <f>S3+1</f>
        <v>2026</v>
      </c>
      <c r="U3" s="68">
        <f>T3+1</f>
        <v>2027</v>
      </c>
      <c r="V3" s="66"/>
      <c r="W3" s="66"/>
      <c r="X3" s="66"/>
      <c r="Y3" s="66"/>
      <c r="Z3" s="66"/>
      <c r="AA3" s="66"/>
      <c r="AB3" s="66"/>
      <c r="AC3" s="66"/>
      <c r="AD3" s="66"/>
      <c r="AE3" s="66"/>
      <c r="AF3" s="66"/>
      <c r="AG3" s="66"/>
    </row>
    <row r="4" spans="2:33" x14ac:dyDescent="0.55000000000000004">
      <c r="B4" s="67" t="s">
        <v>184</v>
      </c>
      <c r="C4" s="67"/>
      <c r="D4" s="194"/>
      <c r="E4" s="194"/>
      <c r="F4" s="194"/>
      <c r="G4" s="194"/>
      <c r="H4" s="67"/>
      <c r="I4" s="67"/>
      <c r="J4" s="67"/>
      <c r="K4" s="67"/>
      <c r="L4" s="67"/>
      <c r="M4" s="66"/>
      <c r="N4" s="66"/>
      <c r="O4" s="66"/>
      <c r="P4" s="66"/>
      <c r="Q4" s="66"/>
      <c r="R4" s="66"/>
      <c r="S4" s="66"/>
      <c r="T4" s="66"/>
      <c r="U4" s="66"/>
      <c r="V4" s="66"/>
      <c r="W4" s="66"/>
      <c r="X4" s="66"/>
      <c r="Y4" s="66"/>
      <c r="Z4" s="66"/>
      <c r="AA4" s="66"/>
      <c r="AB4" s="66"/>
      <c r="AC4" s="66"/>
      <c r="AD4" s="66"/>
      <c r="AE4" s="66"/>
      <c r="AF4" s="66"/>
      <c r="AG4" s="66"/>
    </row>
    <row r="5" spans="2:33" x14ac:dyDescent="0.55000000000000004">
      <c r="B5" s="66" t="s">
        <v>90</v>
      </c>
      <c r="C5" s="69">
        <f>Master!H41</f>
        <v>21915.623</v>
      </c>
      <c r="D5" s="195">
        <f>Interims!P50</f>
        <v>5957.1279999999997</v>
      </c>
      <c r="E5" s="195">
        <f>Interims!Q50</f>
        <v>6155.5630000000001</v>
      </c>
      <c r="F5" s="195">
        <f>Interims!R50</f>
        <v>6165.4352525925933</v>
      </c>
      <c r="G5" s="195">
        <f>Interims!S50</f>
        <v>6471.2526428881192</v>
      </c>
      <c r="H5" s="69">
        <f>Master!I41</f>
        <v>24749.378895480713</v>
      </c>
      <c r="I5" s="69">
        <f>Master!J41</f>
        <v>27174.814545001558</v>
      </c>
      <c r="J5" s="69">
        <f>Master!K41</f>
        <v>29822.950676038268</v>
      </c>
      <c r="K5" s="69">
        <f>Master!L41</f>
        <v>32520.117026153595</v>
      </c>
      <c r="L5" s="66"/>
      <c r="M5" s="193">
        <f>_xll.VAData("SQ_US",M$2,"Total revenue","consensus.vaactuals")</f>
        <v>21915.623</v>
      </c>
      <c r="N5" s="193">
        <f>_xll.VAData("SQ_US",N$2,"Total revenue","consensus.vaactuals")</f>
        <v>5957.1279999999997</v>
      </c>
      <c r="O5" s="193">
        <f>_xll.VAData("SQ_US",O$2,"Total revenue","consensus.vaactuals")</f>
        <v>6155.5630000000001</v>
      </c>
      <c r="P5" s="193">
        <f>_xll.VAData("SQ_US",P$2,"Total revenue","consensus.vaactuals")</f>
        <v>6224.0698341114521</v>
      </c>
      <c r="Q5" s="193">
        <f>_xll.VAData("SQ_US",Q$2,"Total revenue","consensus.vaactuals")</f>
        <v>6322.2703825269191</v>
      </c>
      <c r="R5" s="193">
        <f>_xll.VAData("SQ_US",R$2,"Total revenue","consensus.vaactuals")</f>
        <v>24676.337533709888</v>
      </c>
      <c r="S5" s="193">
        <f>_xll.VAData("SQ_US",S$2,"Total revenue","consensus.vaactuals")</f>
        <v>27221.981812437873</v>
      </c>
      <c r="T5" s="193">
        <f>_xll.VAData("SQ_US",T$2,"Total revenue","consensus.vaactuals")</f>
        <v>29970.902825885347</v>
      </c>
      <c r="U5" s="193">
        <f>_xll.VAData("SQ_US",U$2,"Total revenue","consensus.vaactuals")</f>
        <v>33058.978913494255</v>
      </c>
      <c r="V5" s="66"/>
      <c r="W5" s="66"/>
      <c r="X5" s="66"/>
      <c r="Y5" s="66"/>
      <c r="Z5" s="66"/>
      <c r="AA5" s="66"/>
      <c r="AB5" s="66"/>
      <c r="AC5" s="66"/>
      <c r="AD5" s="66"/>
      <c r="AE5" s="66"/>
      <c r="AF5" s="66"/>
      <c r="AG5" s="66"/>
    </row>
    <row r="6" spans="2:33" x14ac:dyDescent="0.55000000000000004">
      <c r="B6" s="66" t="s">
        <v>243</v>
      </c>
      <c r="C6" s="69"/>
      <c r="D6" s="195"/>
      <c r="E6" s="195"/>
      <c r="F6" s="195"/>
      <c r="G6" s="195"/>
      <c r="H6" s="207">
        <f>H5/C5-1</f>
        <v>0.12930300432165276</v>
      </c>
      <c r="I6" s="207">
        <f>I5/H5-1</f>
        <v>9.7999859300054393E-2</v>
      </c>
      <c r="J6" s="207">
        <f>J5/I5-1</f>
        <v>9.7448176753934801E-2</v>
      </c>
      <c r="K6" s="207">
        <f>K5/J5-1</f>
        <v>9.0439285482318388E-2</v>
      </c>
      <c r="L6" s="194"/>
      <c r="M6" s="208"/>
      <c r="N6" s="208"/>
      <c r="O6" s="208"/>
      <c r="P6" s="208"/>
      <c r="Q6" s="208"/>
      <c r="R6" s="207">
        <f>R5/M5-1</f>
        <v>0.12597015990418736</v>
      </c>
      <c r="S6" s="207">
        <f>S5/R5-1</f>
        <v>0.10316134942028676</v>
      </c>
      <c r="T6" s="207">
        <f>T5/S5-1</f>
        <v>0.10098166372998896</v>
      </c>
      <c r="U6" s="207">
        <f>U5/T5-1</f>
        <v>0.10303580461185802</v>
      </c>
      <c r="V6" s="66"/>
      <c r="W6" s="66"/>
      <c r="X6" s="66"/>
      <c r="Y6" s="66"/>
      <c r="Z6" s="66"/>
      <c r="AA6" s="66"/>
      <c r="AB6" s="66"/>
      <c r="AC6" s="66"/>
      <c r="AD6" s="66"/>
      <c r="AE6" s="66"/>
      <c r="AF6" s="66"/>
      <c r="AG6" s="66"/>
    </row>
    <row r="7" spans="2:33" x14ac:dyDescent="0.55000000000000004">
      <c r="B7" s="66" t="s">
        <v>179</v>
      </c>
      <c r="C7" s="69">
        <f>Master!H54</f>
        <v>7504.8860000000004</v>
      </c>
      <c r="D7" s="195">
        <f>Interims!P60</f>
        <v>2094.473</v>
      </c>
      <c r="E7" s="195">
        <f>Interims!Q60</f>
        <v>2233.48</v>
      </c>
      <c r="F7" s="195">
        <f>Interims!R60</f>
        <v>2238.798224142593</v>
      </c>
      <c r="G7" s="195">
        <f>Interims!S60</f>
        <v>2330.6577144329362</v>
      </c>
      <c r="H7" s="69">
        <f>Master!I54</f>
        <v>8897.4089385755287</v>
      </c>
      <c r="I7" s="69">
        <f>Master!J54</f>
        <v>10165.499146550281</v>
      </c>
      <c r="J7" s="69">
        <f>Master!K54</f>
        <v>11505.432578315094</v>
      </c>
      <c r="K7" s="69">
        <f>Master!L54</f>
        <v>12843.580640617745</v>
      </c>
      <c r="L7" s="66"/>
      <c r="M7" s="193">
        <f>_xll.VAData("SQ_US",M$2,"Gross profit/(loss)","consensus.vaactuals")</f>
        <v>7504.8860000000004</v>
      </c>
      <c r="N7" s="193">
        <f>_xll.VAData("SQ_US",N$2,"Gross profit/(loss)","consensus.vaactuals")</f>
        <v>2094.473</v>
      </c>
      <c r="O7" s="193">
        <f>_xll.VAData("SQ_US",O$2,"Gross profit/(loss)","consensus.vaactuals")</f>
        <v>2233.48</v>
      </c>
      <c r="P7" s="193">
        <f>_xll.VAData("SQ_US",P$2,"Gross profit/(loss)","consensus.vaactuals")</f>
        <v>2234.3440490307066</v>
      </c>
      <c r="Q7" s="193">
        <f>_xll.VAData("SQ_US",Q$2,"Gross profit/(loss)","consensus.vaactuals")</f>
        <v>2354.2961491384622</v>
      </c>
      <c r="R7" s="193">
        <f>_xll.VAData("SQ_US",R$2,"Gross profit/(loss)","consensus.vaactuals")</f>
        <v>8915.7439789598757</v>
      </c>
      <c r="S7" s="193">
        <f>_xll.VAData("SQ_US",S$2,"Gross profit/(loss)","consensus.vaactuals")</f>
        <v>10260.421130897594</v>
      </c>
      <c r="T7" s="193">
        <f>_xll.VAData("SQ_US",T$2,"Gross profit/(loss)","consensus.vaactuals")</f>
        <v>11636.492739582716</v>
      </c>
      <c r="U7" s="193">
        <f>_xll.VAData("SQ_US",U$2,"Gross profit/(loss)","consensus.vaactuals")</f>
        <v>13264.315047202888</v>
      </c>
      <c r="V7" s="66"/>
      <c r="W7" s="66"/>
      <c r="X7" s="66"/>
      <c r="Y7" s="66"/>
      <c r="Z7" s="66"/>
      <c r="AA7" s="66"/>
      <c r="AB7" s="66"/>
      <c r="AC7" s="66"/>
      <c r="AD7" s="66"/>
      <c r="AE7" s="66"/>
      <c r="AF7" s="66"/>
      <c r="AG7" s="66"/>
    </row>
    <row r="8" spans="2:33" x14ac:dyDescent="0.55000000000000004">
      <c r="B8" s="66" t="s">
        <v>243</v>
      </c>
      <c r="C8" s="207">
        <f>Interims!AF60</f>
        <v>0.22018919464279807</v>
      </c>
      <c r="D8" s="207">
        <f>Interims!AG60</f>
        <v>0.22156336464121895</v>
      </c>
      <c r="E8" s="207">
        <f>Interims!AH60</f>
        <v>0.19686983716315454</v>
      </c>
      <c r="F8" s="207">
        <f>Interims!AI60</f>
        <v>0.1792775176697361</v>
      </c>
      <c r="G8" s="207">
        <f>Interims!AJ60</f>
        <v>0.15051482828743912</v>
      </c>
      <c r="H8" s="207">
        <f>H7/C7-1</f>
        <v>0.1855488462550301</v>
      </c>
      <c r="I8" s="207">
        <f>I7/H7-1</f>
        <v>0.14252353878856017</v>
      </c>
      <c r="J8" s="207">
        <f>J7/I7-1</f>
        <v>0.13181186801038969</v>
      </c>
      <c r="K8" s="207">
        <f>K7/J7-1</f>
        <v>0.11630575844881585</v>
      </c>
      <c r="L8" s="194"/>
      <c r="M8" s="208"/>
      <c r="N8" s="208"/>
      <c r="O8" s="208"/>
      <c r="P8" s="208"/>
      <c r="Q8" s="208"/>
      <c r="R8" s="207">
        <f>R7/M7-1</f>
        <v>0.18799192672078902</v>
      </c>
      <c r="S8" s="207">
        <f>S7/R7-1</f>
        <v>0.15082052099196663</v>
      </c>
      <c r="T8" s="207">
        <f>T7/S7-1</f>
        <v>0.13411453498154247</v>
      </c>
      <c r="U8" s="207">
        <f>U7/T7-1</f>
        <v>0.13988942751478439</v>
      </c>
      <c r="V8" s="66"/>
      <c r="W8" s="66"/>
      <c r="X8" s="66"/>
      <c r="Y8" s="66"/>
      <c r="Z8" s="66"/>
      <c r="AA8" s="66"/>
      <c r="AB8" s="66"/>
      <c r="AC8" s="66"/>
      <c r="AD8" s="66"/>
      <c r="AE8" s="66"/>
      <c r="AF8" s="66"/>
      <c r="AG8" s="66"/>
    </row>
    <row r="9" spans="2:33" x14ac:dyDescent="0.55000000000000004">
      <c r="B9" s="171" t="s">
        <v>171</v>
      </c>
      <c r="C9" s="171">
        <f t="shared" ref="C9:K9" si="0">C7/C5</f>
        <v>0.34244456568722692</v>
      </c>
      <c r="D9" s="171">
        <f t="shared" si="0"/>
        <v>0.35159106871633444</v>
      </c>
      <c r="E9" s="171">
        <f t="shared" si="0"/>
        <v>0.36283927237849728</v>
      </c>
      <c r="F9" s="171">
        <f t="shared" si="0"/>
        <v>0.36312087183158209</v>
      </c>
      <c r="G9" s="171">
        <f t="shared" si="0"/>
        <v>0.36015557466981601</v>
      </c>
      <c r="H9" s="171">
        <f t="shared" si="0"/>
        <v>0.35950029195278971</v>
      </c>
      <c r="I9" s="171">
        <f t="shared" si="0"/>
        <v>0.37407795846099301</v>
      </c>
      <c r="J9" s="171">
        <f t="shared" si="0"/>
        <v>0.38579122177737163</v>
      </c>
      <c r="K9" s="171">
        <f t="shared" si="0"/>
        <v>0.3949426329028452</v>
      </c>
      <c r="L9" s="66"/>
      <c r="M9" s="171">
        <f t="shared" ref="M9:U9" si="1">M7/M5</f>
        <v>0.34244456568722692</v>
      </c>
      <c r="N9" s="171">
        <f t="shared" si="1"/>
        <v>0.35159106871633444</v>
      </c>
      <c r="O9" s="171">
        <f t="shared" si="1"/>
        <v>0.36283927237849728</v>
      </c>
      <c r="P9" s="171">
        <f t="shared" si="1"/>
        <v>0.35898441190123337</v>
      </c>
      <c r="Q9" s="171">
        <f t="shared" si="1"/>
        <v>0.37238144000375456</v>
      </c>
      <c r="R9" s="171">
        <f t="shared" si="1"/>
        <v>0.3613074252522378</v>
      </c>
      <c r="S9" s="171">
        <f t="shared" si="1"/>
        <v>0.37691675799333429</v>
      </c>
      <c r="T9" s="171">
        <f t="shared" si="1"/>
        <v>0.38825966662347189</v>
      </c>
      <c r="U9" s="171">
        <f t="shared" si="1"/>
        <v>0.40123184330380401</v>
      </c>
      <c r="V9" s="66"/>
      <c r="W9" s="66"/>
      <c r="X9" s="66"/>
      <c r="Y9" s="66"/>
      <c r="Z9" s="66"/>
      <c r="AA9" s="66"/>
      <c r="AB9" s="66"/>
      <c r="AC9" s="66"/>
      <c r="AD9" s="66"/>
      <c r="AE9" s="66"/>
      <c r="AF9" s="66"/>
      <c r="AG9" s="66"/>
    </row>
    <row r="10" spans="2:33" x14ac:dyDescent="0.55000000000000004">
      <c r="B10" s="66"/>
      <c r="C10" s="66"/>
      <c r="D10" s="187"/>
      <c r="E10" s="187"/>
      <c r="F10" s="187"/>
      <c r="G10" s="187"/>
      <c r="H10" s="66"/>
      <c r="I10" s="66"/>
      <c r="J10" s="66"/>
      <c r="K10" s="66"/>
      <c r="L10" s="66"/>
      <c r="M10" s="66"/>
      <c r="N10" s="66"/>
      <c r="O10" s="66"/>
      <c r="P10" s="66"/>
      <c r="Q10" s="66"/>
      <c r="R10" s="66"/>
      <c r="S10" s="66"/>
      <c r="T10" s="66"/>
      <c r="U10" s="66"/>
      <c r="V10" s="66"/>
      <c r="W10" s="66"/>
      <c r="X10" s="66"/>
      <c r="Y10" s="66"/>
      <c r="Z10" s="66"/>
      <c r="AA10" s="66"/>
      <c r="AB10" s="66"/>
      <c r="AC10" s="66"/>
      <c r="AD10" s="66"/>
      <c r="AE10" s="66"/>
      <c r="AF10" s="66"/>
      <c r="AG10" s="66"/>
    </row>
    <row r="11" spans="2:33" x14ac:dyDescent="0.55000000000000004">
      <c r="B11" s="67" t="s">
        <v>162</v>
      </c>
      <c r="C11" s="67"/>
      <c r="D11" s="194"/>
      <c r="E11" s="194"/>
      <c r="F11" s="194"/>
      <c r="G11" s="194"/>
      <c r="H11" s="67"/>
      <c r="I11" s="67"/>
      <c r="J11" s="67"/>
      <c r="K11" s="67"/>
      <c r="L11" s="67"/>
      <c r="M11" s="66"/>
      <c r="N11" s="66"/>
      <c r="O11" s="66"/>
      <c r="P11" s="66"/>
      <c r="Q11" s="66"/>
      <c r="R11" s="66"/>
      <c r="S11" s="66"/>
      <c r="T11" s="66"/>
      <c r="U11" s="66"/>
      <c r="V11" s="66"/>
      <c r="W11" s="66"/>
      <c r="X11" s="66"/>
      <c r="Y11" s="66"/>
      <c r="Z11" s="66"/>
      <c r="AA11" s="66"/>
      <c r="AB11" s="66"/>
      <c r="AC11" s="66"/>
      <c r="AD11" s="66"/>
      <c r="AE11" s="66"/>
      <c r="AF11" s="66"/>
      <c r="AG11" s="66"/>
    </row>
    <row r="12" spans="2:33" x14ac:dyDescent="0.55000000000000004">
      <c r="B12" s="66" t="str">
        <f>B5</f>
        <v>Revenue</v>
      </c>
      <c r="C12" s="69">
        <f>Master!H11</f>
        <v>7033.384</v>
      </c>
      <c r="D12" s="195">
        <f>Interims!P11</f>
        <v>1730.037</v>
      </c>
      <c r="E12" s="195">
        <f>Interims!Q11</f>
        <v>1979.49</v>
      </c>
      <c r="F12" s="195">
        <f>Interims!R11</f>
        <v>2057.2540200000003</v>
      </c>
      <c r="G12" s="195">
        <f>Interims!S11</f>
        <v>2049.3215120076584</v>
      </c>
      <c r="H12" s="69">
        <f>Master!I11</f>
        <v>7816.1025320076587</v>
      </c>
      <c r="I12" s="69">
        <f>Master!J11</f>
        <v>8675.8738105285029</v>
      </c>
      <c r="J12" s="69">
        <f>Master!K11</f>
        <v>9744.6186197546704</v>
      </c>
      <c r="K12" s="69">
        <f>Master!L11</f>
        <v>10750.590026967666</v>
      </c>
      <c r="L12" s="66"/>
      <c r="M12" s="193">
        <f>_xll.VAData("SQ_US",M$2,"Total revenue - Seller ecosystem","consensus.vaactuals")</f>
        <v>7033.3829999999998</v>
      </c>
      <c r="N12" s="193">
        <f>_xll.VAData("SQ_US",N$2,"Total revenue - Seller ecosystem","consensus.vaactuals")</f>
        <v>1730.037</v>
      </c>
      <c r="O12" s="193">
        <f>_xll.VAData("SQ_US",O$2,"Total revenue - Seller ecosystem","consensus.vaactuals")</f>
        <v>1979.49</v>
      </c>
      <c r="P12" s="193">
        <f>_xll.VAData("SQ_US",P$2,"Total revenue - Seller ecosystem","consensus.vaactuals")</f>
        <v>2028.6349192739879</v>
      </c>
      <c r="Q12" s="193">
        <f>_xll.VAData("SQ_US",Q$2,"Total revenue - Seller ecosystem","consensus.vaactuals")</f>
        <v>1986.5501261581812</v>
      </c>
      <c r="R12" s="193">
        <f>_xll.VAData("SQ_US",R$2,"Total revenue - Seller ecosystem","consensus.vaactuals")</f>
        <v>8116.143425577965</v>
      </c>
      <c r="S12" s="193">
        <f>_xll.VAData("SQ_US",S$2,"Total revenue - Seller ecosystem","consensus.vaactuals")</f>
        <v>9063.4604399842465</v>
      </c>
      <c r="T12" s="193">
        <f>_xll.VAData("SQ_US",T$2,"Total revenue - Seller ecosystem","consensus.vaactuals")</f>
        <v>9540.2190001998551</v>
      </c>
      <c r="U12" s="193">
        <f>_xll.VAData("SQ_US",U$2,"Total revenue - Seller ecosystem","consensus.vaactuals")</f>
        <v>10920.383927743193</v>
      </c>
      <c r="V12" s="66"/>
      <c r="W12" s="66"/>
      <c r="X12" s="66"/>
      <c r="Y12" s="66"/>
      <c r="Z12" s="66"/>
      <c r="AA12" s="66"/>
      <c r="AB12" s="66"/>
      <c r="AC12" s="66"/>
      <c r="AD12" s="66"/>
      <c r="AE12" s="66"/>
      <c r="AF12" s="66"/>
      <c r="AG12" s="66"/>
    </row>
    <row r="13" spans="2:33" x14ac:dyDescent="0.55000000000000004">
      <c r="B13" s="66" t="s">
        <v>243</v>
      </c>
      <c r="C13" s="69"/>
      <c r="D13" s="195"/>
      <c r="E13" s="195"/>
      <c r="F13" s="195"/>
      <c r="G13" s="195"/>
      <c r="H13" s="207">
        <f>H12/C12-1</f>
        <v>0.11128619338964829</v>
      </c>
      <c r="I13" s="207">
        <f>I12/H12-1</f>
        <v>0.11000000000000032</v>
      </c>
      <c r="J13" s="207">
        <f>J12/I12-1</f>
        <v>0.12318584070796468</v>
      </c>
      <c r="K13" s="207">
        <f>K12/J12-1</f>
        <v>0.10323353293413162</v>
      </c>
      <c r="L13" s="194"/>
      <c r="M13" s="208"/>
      <c r="N13" s="208"/>
      <c r="O13" s="208"/>
      <c r="P13" s="208"/>
      <c r="Q13" s="208"/>
      <c r="R13" s="207">
        <f>R12/M12-1</f>
        <v>0.15394589283392723</v>
      </c>
      <c r="S13" s="207">
        <f>S12/R12-1</f>
        <v>0.11672009287327523</v>
      </c>
      <c r="T13" s="207">
        <f>T12/S12-1</f>
        <v>5.2602266360908478E-2</v>
      </c>
      <c r="U13" s="207">
        <f>U12/T12-1</f>
        <v>0.14466805505349778</v>
      </c>
      <c r="V13" s="66"/>
      <c r="W13" s="66"/>
      <c r="X13" s="66"/>
      <c r="Y13" s="66"/>
      <c r="Z13" s="66"/>
      <c r="AA13" s="66"/>
      <c r="AB13" s="66"/>
      <c r="AC13" s="66"/>
      <c r="AD13" s="66"/>
      <c r="AE13" s="66"/>
      <c r="AF13" s="66"/>
      <c r="AG13" s="66"/>
    </row>
    <row r="14" spans="2:33" x14ac:dyDescent="0.55000000000000004">
      <c r="B14" s="66" t="str">
        <f>B7</f>
        <v>Gross Profit</v>
      </c>
      <c r="C14" s="69">
        <f>Master!H13</f>
        <v>3128.654</v>
      </c>
      <c r="D14" s="195">
        <f>Interims!P13</f>
        <v>820.27200000000005</v>
      </c>
      <c r="E14" s="195">
        <f>Interims!Q13</f>
        <v>922.58399999999995</v>
      </c>
      <c r="F14" s="195">
        <f>Interims!R13</f>
        <v>920.62117395000018</v>
      </c>
      <c r="G14" s="195">
        <f>Interims!S13</f>
        <v>939.74609330553017</v>
      </c>
      <c r="H14" s="69">
        <f>Master!I13</f>
        <v>3603.2232672555301</v>
      </c>
      <c r="I14" s="69">
        <f>Master!J13</f>
        <v>4042.9571957062817</v>
      </c>
      <c r="J14" s="69">
        <f>Master!K13</f>
        <v>4579.9707512846944</v>
      </c>
      <c r="K14" s="69">
        <f>Master!L13</f>
        <v>5052.7773126748025</v>
      </c>
      <c r="L14" s="66"/>
      <c r="M14" s="193">
        <f>_xll.VAData("SQ_US",M$2,"Gross profit/(loss) - Seller ecosystem","consensus.vaactuals")</f>
        <v>3128.6484999999998</v>
      </c>
      <c r="N14" s="193">
        <f>_xll.VAData("SQ_US",N$2,"Gross profit/(loss) - Seller ecosystem","consensus.vaactuals")</f>
        <v>820.27200000000005</v>
      </c>
      <c r="O14" s="193">
        <f>_xll.VAData("SQ_US",O$2,"Gross profit/(loss) - Seller ecosystem","consensus.vaactuals")</f>
        <v>922.58399999999995</v>
      </c>
      <c r="P14" s="193">
        <f>_xll.VAData("SQ_US",P$2,"Gross profit/(loss) - Seller ecosystem","consensus.vaactuals")</f>
        <v>925.08698944343189</v>
      </c>
      <c r="Q14" s="193">
        <f>_xll.VAData("SQ_US",Q$2,"Gross profit/(loss) - Seller ecosystem","consensus.vaactuals")</f>
        <v>935.76910165118363</v>
      </c>
      <c r="R14" s="193">
        <f>_xll.VAData("SQ_US",R$2,"Gross profit/(loss) - Seller ecosystem","consensus.vaactuals")</f>
        <v>3487.389210401202</v>
      </c>
      <c r="S14" s="193">
        <f>_xll.VAData("SQ_US",S$2,"Gross profit/(loss) - Seller ecosystem","consensus.vaactuals")</f>
        <v>4025.3294625348699</v>
      </c>
      <c r="T14" s="193">
        <f>_xll.VAData("SQ_US",T$2,"Gross profit/(loss) - Seller ecosystem","consensus.vaactuals")</f>
        <v>4433.9906297614189</v>
      </c>
      <c r="U14" s="193">
        <f>_xll.VAData("SQ_US",U$2,"Gross profit/(loss) - Seller ecosystem","consensus.vaactuals")</f>
        <v>4813.7524730742998</v>
      </c>
      <c r="V14" s="66"/>
      <c r="W14" s="66"/>
      <c r="X14" s="66"/>
      <c r="Y14" s="66"/>
      <c r="Z14" s="66"/>
      <c r="AA14" s="66"/>
      <c r="AB14" s="66"/>
      <c r="AC14" s="66"/>
      <c r="AD14" s="66"/>
      <c r="AE14" s="66"/>
      <c r="AF14" s="66"/>
      <c r="AG14" s="66"/>
    </row>
    <row r="15" spans="2:33" x14ac:dyDescent="0.55000000000000004">
      <c r="B15" s="66" t="s">
        <v>243</v>
      </c>
      <c r="C15" s="69"/>
      <c r="D15" s="195"/>
      <c r="E15" s="195"/>
      <c r="F15" s="195"/>
      <c r="G15" s="195"/>
      <c r="H15" s="207">
        <f>H14/C14-1</f>
        <v>0.15168480351471603</v>
      </c>
      <c r="I15" s="207">
        <f>I14/H14-1</f>
        <v>0.12203904555314549</v>
      </c>
      <c r="J15" s="207">
        <f>J14/I14-1</f>
        <v>0.13282692088571557</v>
      </c>
      <c r="K15" s="207">
        <f>K14/J14-1</f>
        <v>0.10323353293413162</v>
      </c>
      <c r="L15" s="194"/>
      <c r="M15" s="208"/>
      <c r="N15" s="208"/>
      <c r="O15" s="208"/>
      <c r="P15" s="208"/>
      <c r="Q15" s="208"/>
      <c r="R15" s="207">
        <f>R14/M14-1</f>
        <v>0.11466315580072428</v>
      </c>
      <c r="S15" s="207">
        <f>S14/R14-1</f>
        <v>0.15425300122201757</v>
      </c>
      <c r="T15" s="207">
        <f>T14/S14-1</f>
        <v>0.10152241475638202</v>
      </c>
      <c r="U15" s="207">
        <f>U14/T14-1</f>
        <v>8.5647867806458278E-2</v>
      </c>
      <c r="V15" s="66"/>
      <c r="W15" s="66"/>
      <c r="X15" s="66"/>
      <c r="Y15" s="66"/>
      <c r="Z15" s="66"/>
      <c r="AA15" s="66"/>
      <c r="AB15" s="66"/>
      <c r="AC15" s="66"/>
      <c r="AD15" s="66"/>
      <c r="AE15" s="66"/>
      <c r="AF15" s="66"/>
      <c r="AG15" s="66"/>
    </row>
    <row r="16" spans="2:33" x14ac:dyDescent="0.55000000000000004">
      <c r="B16" s="66" t="s">
        <v>171</v>
      </c>
      <c r="C16" s="171">
        <f>C14/C12</f>
        <v>0.44482911781867734</v>
      </c>
      <c r="D16" s="171">
        <f t="shared" ref="D16:K16" si="2">D14/D12</f>
        <v>0.47413552426913413</v>
      </c>
      <c r="E16" s="171">
        <f t="shared" si="2"/>
        <v>0.46607156388766802</v>
      </c>
      <c r="F16" s="171">
        <f t="shared" si="2"/>
        <v>0.44750000000000001</v>
      </c>
      <c r="G16" s="171">
        <f t="shared" si="2"/>
        <v>0.45856449942053712</v>
      </c>
      <c r="H16" s="171">
        <f t="shared" si="2"/>
        <v>0.46099999999999991</v>
      </c>
      <c r="I16" s="171">
        <f t="shared" si="2"/>
        <v>0.46599999999999991</v>
      </c>
      <c r="J16" s="171">
        <f t="shared" si="2"/>
        <v>0.46999999999999992</v>
      </c>
      <c r="K16" s="171">
        <f t="shared" si="2"/>
        <v>0.47</v>
      </c>
      <c r="L16" s="66"/>
      <c r="M16" s="171">
        <f t="shared" ref="M16:U16" si="3">M14/M12</f>
        <v>0.44482839907907756</v>
      </c>
      <c r="N16" s="171">
        <f t="shared" si="3"/>
        <v>0.47413552426913413</v>
      </c>
      <c r="O16" s="171">
        <f t="shared" si="3"/>
        <v>0.46607156388766802</v>
      </c>
      <c r="P16" s="171">
        <f t="shared" si="3"/>
        <v>0.45601452516380026</v>
      </c>
      <c r="Q16" s="171">
        <f t="shared" si="3"/>
        <v>0.47105234815336949</v>
      </c>
      <c r="R16" s="171">
        <f t="shared" si="3"/>
        <v>0.42968550794835897</v>
      </c>
      <c r="S16" s="171">
        <f t="shared" si="3"/>
        <v>0.44412721710316932</v>
      </c>
      <c r="T16" s="171">
        <f t="shared" si="3"/>
        <v>0.46476822279116786</v>
      </c>
      <c r="U16" s="171">
        <f t="shared" si="3"/>
        <v>0.44080432564691985</v>
      </c>
      <c r="V16" s="66"/>
      <c r="W16" s="66"/>
      <c r="X16" s="66"/>
      <c r="Y16" s="66"/>
      <c r="Z16" s="66"/>
      <c r="AA16" s="66"/>
      <c r="AB16" s="66"/>
      <c r="AC16" s="66"/>
      <c r="AD16" s="66"/>
      <c r="AE16" s="66"/>
      <c r="AF16" s="66"/>
      <c r="AG16" s="66"/>
    </row>
    <row r="17" spans="2:33" x14ac:dyDescent="0.55000000000000004">
      <c r="B17" s="66"/>
      <c r="C17" s="66"/>
      <c r="D17" s="187"/>
      <c r="E17" s="187"/>
      <c r="F17" s="187"/>
      <c r="G17" s="187"/>
      <c r="H17" s="66"/>
      <c r="I17" s="66"/>
      <c r="J17" s="66"/>
      <c r="K17" s="66"/>
      <c r="L17" s="66"/>
      <c r="M17" s="66"/>
      <c r="N17" s="66"/>
      <c r="O17" s="66"/>
      <c r="P17" s="66"/>
      <c r="Q17" s="66"/>
      <c r="R17" s="66"/>
      <c r="S17" s="66"/>
      <c r="T17" s="66"/>
      <c r="U17" s="66"/>
      <c r="V17" s="66"/>
      <c r="W17" s="66"/>
      <c r="X17" s="66"/>
      <c r="Y17" s="66"/>
      <c r="Z17" s="66"/>
      <c r="AA17" s="66"/>
      <c r="AB17" s="66"/>
      <c r="AC17" s="66"/>
      <c r="AD17" s="66"/>
      <c r="AE17" s="66"/>
      <c r="AF17" s="66"/>
      <c r="AG17" s="66"/>
    </row>
    <row r="18" spans="2:33" x14ac:dyDescent="0.55000000000000004">
      <c r="B18" s="67" t="s">
        <v>163</v>
      </c>
      <c r="C18" s="67"/>
      <c r="D18" s="187"/>
      <c r="E18" s="187"/>
      <c r="F18" s="187"/>
      <c r="G18" s="187"/>
      <c r="H18" s="67"/>
      <c r="I18" s="67"/>
      <c r="J18" s="67"/>
      <c r="K18" s="67"/>
      <c r="L18" s="67"/>
      <c r="M18" s="66"/>
      <c r="N18" s="66"/>
      <c r="O18" s="66"/>
      <c r="P18" s="66"/>
      <c r="Q18" s="66"/>
      <c r="R18" s="66"/>
      <c r="S18" s="66"/>
      <c r="T18" s="66"/>
      <c r="U18" s="66"/>
      <c r="V18" s="66"/>
      <c r="W18" s="66"/>
      <c r="X18" s="66"/>
      <c r="Y18" s="66"/>
      <c r="Z18" s="66"/>
      <c r="AA18" s="66"/>
      <c r="AB18" s="66"/>
      <c r="AC18" s="66"/>
      <c r="AD18" s="66"/>
      <c r="AE18" s="66"/>
      <c r="AF18" s="66"/>
      <c r="AG18" s="66"/>
    </row>
    <row r="19" spans="2:33" x14ac:dyDescent="0.55000000000000004">
      <c r="B19" s="66" t="s">
        <v>248</v>
      </c>
      <c r="C19" s="69">
        <f>Master!H242</f>
        <v>56</v>
      </c>
      <c r="D19" s="66">
        <f>Interims!P242</f>
        <v>57</v>
      </c>
      <c r="E19" s="66">
        <f>Interims!Q242</f>
        <v>57</v>
      </c>
      <c r="F19" s="66">
        <f>Interims!R242</f>
        <v>58</v>
      </c>
      <c r="G19" s="66">
        <f>Interims!S242</f>
        <v>59</v>
      </c>
      <c r="H19" s="69">
        <f>Master!I242</f>
        <v>59</v>
      </c>
      <c r="I19" s="69">
        <f>Master!J242</f>
        <v>61</v>
      </c>
      <c r="J19" s="69">
        <f>Master!K242</f>
        <v>62.75</v>
      </c>
      <c r="K19" s="69">
        <f>Master!L242</f>
        <v>64.25</v>
      </c>
      <c r="L19" s="67"/>
      <c r="M19" s="193">
        <f>_xll.VAData("SQ_US",M$2,"Monthly transacting active customers(MTAC) - Cash app","consensus.vaactuals","CD")</f>
        <v>56</v>
      </c>
      <c r="N19" s="193">
        <f>_xll.VAData("SQ_US",N$2,"Monthly transacting active customers(MTAC) - Cash app","consensus.vaactuals","CD")</f>
        <v>57</v>
      </c>
      <c r="O19" s="193">
        <f>_xll.VAData("SQ_US",O$2,"Monthly transacting active customers(MTAC) - Cash app","consensus.vaactuals","CD")</f>
        <v>57</v>
      </c>
      <c r="P19" s="193">
        <f>_xll.VAData("SQ_US",P$2,"Monthly transacting active customers(MTAC) - Cash app","consensus.vaactuals","CD")</f>
        <v>57.908076923076926</v>
      </c>
      <c r="Q19" s="193">
        <f>_xll.VAData("SQ_US",Q$2,"Monthly transacting active customers(MTAC) - Cash app","consensus.vaactuals","CD")</f>
        <v>58.752113461538464</v>
      </c>
      <c r="R19" s="193">
        <f>_xll.VAData("SQ_US",R$2,"Monthly transacting active customers(MTAC) - Cash app","consensus.vaactuals","CD")</f>
        <v>58.314981250000002</v>
      </c>
      <c r="S19" s="193">
        <f>_xll.VAData("SQ_US",S$2,"Monthly transacting active customers(MTAC) - Cash app","consensus.vaactuals","CD")</f>
        <v>61.600135773415467</v>
      </c>
      <c r="T19" s="193">
        <f>_xll.VAData("SQ_US",T$2,"Monthly transacting active customers(MTAC) - Cash app","consensus.vaactuals","CD")</f>
        <v>65.569812193055242</v>
      </c>
      <c r="U19" s="193">
        <f>_xll.VAData("SQ_US",U$2,"Monthly transacting active customers(MTAC) - Cash app","consensus.vaactuals","CD")</f>
        <v>71.952680319999999</v>
      </c>
      <c r="V19" s="66"/>
      <c r="W19" s="66"/>
      <c r="X19" s="66"/>
      <c r="Y19" s="66"/>
      <c r="Z19" s="66"/>
      <c r="AA19" s="66"/>
      <c r="AB19" s="66"/>
      <c r="AC19" s="66"/>
      <c r="AD19" s="66"/>
      <c r="AE19" s="66"/>
      <c r="AF19" s="66"/>
      <c r="AG19" s="66"/>
    </row>
    <row r="20" spans="2:33" x14ac:dyDescent="0.55000000000000004">
      <c r="B20" s="66" t="s">
        <v>597</v>
      </c>
      <c r="C20" s="69">
        <f>Master!H247</f>
        <v>4417.4285714285716</v>
      </c>
      <c r="D20" s="69">
        <f>Interims!P244</f>
        <v>1255</v>
      </c>
      <c r="E20" s="69">
        <f>Interims!Q244</f>
        <v>1243</v>
      </c>
      <c r="F20" s="69">
        <f>Interims!R244</f>
        <v>1245.2</v>
      </c>
      <c r="G20" s="69">
        <f>Interims!S244</f>
        <v>1243.8416222760288</v>
      </c>
      <c r="H20" s="69">
        <f>Master!I247</f>
        <v>4881.2585714285715</v>
      </c>
      <c r="I20" s="69">
        <f>Master!J247</f>
        <v>5467.0096000000003</v>
      </c>
      <c r="J20" s="69">
        <f>Master!K247</f>
        <v>6123.050752000001</v>
      </c>
      <c r="K20" s="69">
        <f>Master!L247</f>
        <v>6735.3558272000018</v>
      </c>
      <c r="L20" s="67"/>
      <c r="M20" s="193">
        <f>_xll.VAData("SQ_US",M$2,"Cash app Inflows per active","consensus.vaactuals","CD")</f>
        <v>4558.8593680921413</v>
      </c>
      <c r="N20" s="193">
        <f>_xll.VAData("SQ_US",N$2,"Cash app Inflows per active","consensus.vaactuals","CD")</f>
        <v>1255</v>
      </c>
      <c r="O20" s="193">
        <f>_xll.VAData("SQ_US",O$2,"Cash app Inflows per active","consensus.vaactuals","CD")</f>
        <v>1243</v>
      </c>
      <c r="P20" s="193">
        <f>_xll.VAData("SQ_US",P$2,"Cash app Inflows per active","consensus.vaactuals","CD")</f>
        <v>1231.6347447951284</v>
      </c>
      <c r="Q20" s="193">
        <f>_xll.VAData("SQ_US",Q$2,"Cash app Inflows per active","consensus.vaactuals","CD")</f>
        <v>1238.7092784519589</v>
      </c>
      <c r="R20" s="193">
        <f>_xll.VAData("SQ_US",R$2,"Cash app Inflows per active","consensus.vaactuals","CD")</f>
        <v>4971.3724854162556</v>
      </c>
      <c r="S20" s="193">
        <f>_xll.VAData("SQ_US",S$2,"Cash app Inflows per active","consensus.vaactuals","CD")</f>
        <v>5293.871529808881</v>
      </c>
      <c r="T20" s="193">
        <f>_xll.VAData("SQ_US",T$2,"Cash app Inflows per active","consensus.vaactuals","CD")</f>
        <v>5482.3460875458222</v>
      </c>
      <c r="U20" s="193">
        <f>_xll.VAData("SQ_US",U$2,"Cash app Inflows per active","consensus.vaactuals","CD")</f>
        <v>5665.5421315200001</v>
      </c>
      <c r="V20" s="66"/>
      <c r="W20" s="66"/>
      <c r="X20" s="66"/>
      <c r="Y20" s="66"/>
      <c r="Z20" s="66"/>
      <c r="AA20" s="66"/>
      <c r="AB20" s="66"/>
      <c r="AC20" s="66"/>
      <c r="AD20" s="66"/>
      <c r="AE20" s="66"/>
      <c r="AF20" s="66"/>
      <c r="AG20" s="66"/>
    </row>
    <row r="21" spans="2:33" x14ac:dyDescent="0.55000000000000004">
      <c r="B21" s="66" t="s">
        <v>598</v>
      </c>
      <c r="C21" s="69">
        <f>Master!H245</f>
        <v>247.376</v>
      </c>
      <c r="D21" s="69">
        <f>Interims!P247/1000</f>
        <v>71.534999999999997</v>
      </c>
      <c r="E21" s="69">
        <f>Interims!Q247/1000</f>
        <v>70.850999999999999</v>
      </c>
      <c r="F21" s="69">
        <f>Interims!R247/1000</f>
        <v>72.221600000000009</v>
      </c>
      <c r="G21" s="69">
        <f>Interims!S247/1000</f>
        <v>73.386655714285709</v>
      </c>
      <c r="H21" s="69">
        <f>Master!I245</f>
        <v>287.99425571428571</v>
      </c>
      <c r="I21" s="69">
        <f>Master!J245</f>
        <v>333.48758559999999</v>
      </c>
      <c r="J21" s="69">
        <f>Master!K245</f>
        <v>384.22143468800004</v>
      </c>
      <c r="K21" s="69">
        <f>Master!L245</f>
        <v>432.74661189760013</v>
      </c>
      <c r="L21" s="67"/>
      <c r="M21" s="193">
        <f>_xll.VAData("SQ_US",M$2,"Cash app Inflows","consensus.vaactuals","CD")/1000</f>
        <v>248</v>
      </c>
      <c r="N21" s="193">
        <f>_xll.VAData("SQ_US",N$2,"Cash app Inflows","consensus.vaactuals","CD")/1000</f>
        <v>71.534999999999997</v>
      </c>
      <c r="O21" s="193">
        <f>_xll.VAData("SQ_US",O$2,"Cash app Inflows","consensus.vaactuals","CD")/1000</f>
        <v>70.850999999999999</v>
      </c>
      <c r="P21" s="193">
        <f>_xll.VAData("SQ_US",P$2,"Cash app Inflows","consensus.vaactuals","CD")/1000</f>
        <v>71.21884268580628</v>
      </c>
      <c r="Q21" s="193">
        <f>_xll.VAData("SQ_US",Q$2,"Cash app Inflows","consensus.vaactuals","CD")/1000</f>
        <v>72.590405321714073</v>
      </c>
      <c r="R21" s="193">
        <f>_xll.VAData("SQ_US",R$2,"Cash app Inflows","consensus.vaactuals","CD")/1000</f>
        <v>285.97621736174546</v>
      </c>
      <c r="S21" s="193">
        <f>_xll.VAData("SQ_US",S$2,"Cash app Inflows","consensus.vaactuals","CD")/1000</f>
        <v>324.14031604583511</v>
      </c>
      <c r="T21" s="193">
        <f>_xll.VAData("SQ_US",T$2,"Cash app Inflows","consensus.vaactuals","CD")/1000</f>
        <v>368.86818228138208</v>
      </c>
      <c r="U21" s="193">
        <f>_xll.VAData("SQ_US",U$2,"Cash app Inflows","consensus.vaactuals","CD")/1000</f>
        <v>410.86820092063732</v>
      </c>
      <c r="V21" s="66"/>
      <c r="W21" s="66"/>
      <c r="X21" s="66"/>
      <c r="Y21" s="66"/>
      <c r="Z21" s="66"/>
      <c r="AA21" s="66"/>
      <c r="AB21" s="66"/>
      <c r="AC21" s="66"/>
      <c r="AD21" s="66"/>
      <c r="AE21" s="66"/>
      <c r="AF21" s="66"/>
      <c r="AG21" s="66"/>
    </row>
    <row r="22" spans="2:33" x14ac:dyDescent="0.55000000000000004">
      <c r="B22" s="66" t="s">
        <v>253</v>
      </c>
      <c r="C22" s="69"/>
      <c r="D22" s="187"/>
      <c r="E22" s="187"/>
      <c r="F22" s="187"/>
      <c r="G22" s="187"/>
      <c r="H22" s="67"/>
      <c r="I22" s="67"/>
      <c r="J22" s="67"/>
      <c r="K22" s="67"/>
      <c r="L22" s="67"/>
      <c r="M22" s="66"/>
      <c r="N22" s="66"/>
      <c r="O22" s="66"/>
      <c r="P22" s="66"/>
      <c r="Q22" s="66"/>
      <c r="R22" s="66"/>
      <c r="S22" s="66"/>
      <c r="T22" s="66"/>
      <c r="U22" s="66"/>
      <c r="V22" s="66"/>
      <c r="W22" s="66"/>
      <c r="X22" s="66"/>
      <c r="Y22" s="66"/>
      <c r="Z22" s="66"/>
      <c r="AA22" s="66"/>
      <c r="AB22" s="66"/>
      <c r="AC22" s="66"/>
      <c r="AD22" s="66"/>
      <c r="AE22" s="66"/>
      <c r="AF22" s="66"/>
      <c r="AG22" s="66"/>
    </row>
    <row r="23" spans="2:33" x14ac:dyDescent="0.55000000000000004">
      <c r="B23" s="66"/>
      <c r="C23" s="69"/>
      <c r="D23" s="187"/>
      <c r="E23" s="187"/>
      <c r="F23" s="187"/>
      <c r="G23" s="187"/>
      <c r="H23" s="67"/>
      <c r="I23" s="67"/>
      <c r="J23" s="67"/>
      <c r="K23" s="67"/>
      <c r="L23" s="67"/>
      <c r="M23" s="66"/>
      <c r="N23" s="66"/>
      <c r="O23" s="66"/>
      <c r="P23" s="66"/>
      <c r="Q23" s="66"/>
      <c r="R23" s="66"/>
      <c r="S23" s="66"/>
      <c r="T23" s="66"/>
      <c r="U23" s="66"/>
      <c r="V23" s="66"/>
      <c r="W23" s="66"/>
      <c r="X23" s="66"/>
      <c r="Y23" s="66"/>
      <c r="Z23" s="66"/>
      <c r="AA23" s="66"/>
      <c r="AB23" s="66"/>
      <c r="AC23" s="66"/>
      <c r="AD23" s="66"/>
      <c r="AE23" s="66"/>
      <c r="AF23" s="66"/>
      <c r="AG23" s="66"/>
    </row>
    <row r="24" spans="2:33" x14ac:dyDescent="0.55000000000000004">
      <c r="B24" s="66" t="str">
        <f>B12</f>
        <v>Revenue</v>
      </c>
      <c r="C24" s="69">
        <f>Master!H253</f>
        <v>14681.686</v>
      </c>
      <c r="D24" s="195">
        <f>Interims!P28</f>
        <v>4172.9040000000005</v>
      </c>
      <c r="E24" s="195">
        <f>Interims!Q28</f>
        <v>4128.8270000000002</v>
      </c>
      <c r="F24" s="195">
        <f>Interims!R28</f>
        <v>4091.681232592593</v>
      </c>
      <c r="G24" s="195">
        <f>Interims!S28</f>
        <v>4319.8641308804617</v>
      </c>
      <c r="H24" s="69">
        <f>Master!I253</f>
        <v>16713.276363473055</v>
      </c>
      <c r="I24" s="69">
        <f>Master!J253</f>
        <v>18273.440734473057</v>
      </c>
      <c r="J24" s="69">
        <f>Master!K253</f>
        <v>19847.194556283597</v>
      </c>
      <c r="K24" s="69">
        <f>Master!L253</f>
        <v>21532.611061685926</v>
      </c>
      <c r="L24" s="66"/>
      <c r="M24" s="193">
        <f>_xll.VAData("SQ_US",M$2,"Total revenue - Cash app","consensus.vaactuals")</f>
        <v>14681.6865</v>
      </c>
      <c r="N24" s="193">
        <f>_xll.VAData("SQ_US",N$2,"Total revenue - Cash app","consensus.vaactuals")</f>
        <v>4172.9040000000005</v>
      </c>
      <c r="O24" s="193">
        <f>_xll.VAData("SQ_US",O$2,"Total revenue - Cash app","consensus.vaactuals")</f>
        <v>4128.8270000000002</v>
      </c>
      <c r="P24" s="193">
        <f>_xll.VAData("SQ_US",P$2,"Total revenue - Cash app","consensus.vaactuals")</f>
        <v>4126.704582343943</v>
      </c>
      <c r="Q24" s="193">
        <f>_xll.VAData("SQ_US",Q$2,"Total revenue - Cash app","consensus.vaactuals")</f>
        <v>4291.0568919416719</v>
      </c>
      <c r="R24" s="193">
        <f>_xll.VAData("SQ_US",R$2,"Total revenue - Cash app","consensus.vaactuals")</f>
        <v>16731.361786577505</v>
      </c>
      <c r="S24" s="193">
        <f>_xll.VAData("SQ_US",S$2,"Total revenue - Cash app","consensus.vaactuals")</f>
        <v>18320.352330760477</v>
      </c>
      <c r="T24" s="193">
        <f>_xll.VAData("SQ_US",T$2,"Total revenue - Cash app","consensus.vaactuals")</f>
        <v>20254.69308237443</v>
      </c>
      <c r="U24" s="193">
        <f>_xll.VAData("SQ_US",U$2,"Total revenue - Cash app","consensus.vaactuals")</f>
        <v>22457.06030077914</v>
      </c>
      <c r="V24" s="66"/>
      <c r="W24" s="66"/>
      <c r="X24" s="66"/>
      <c r="Y24" s="66"/>
      <c r="Z24" s="66"/>
      <c r="AA24" s="66"/>
      <c r="AB24" s="66"/>
      <c r="AC24" s="66"/>
      <c r="AD24" s="66"/>
      <c r="AE24" s="66"/>
      <c r="AF24" s="66"/>
      <c r="AG24" s="66"/>
    </row>
    <row r="25" spans="2:33" x14ac:dyDescent="0.55000000000000004">
      <c r="B25" s="66" t="s">
        <v>243</v>
      </c>
      <c r="C25" s="69"/>
      <c r="D25" s="195"/>
      <c r="E25" s="195"/>
      <c r="F25" s="195"/>
      <c r="G25" s="195"/>
      <c r="H25" s="207">
        <f>H24/C24-1</f>
        <v>0.13837582165107287</v>
      </c>
      <c r="I25" s="207">
        <f>I24/H24-1</f>
        <v>9.334880469096718E-2</v>
      </c>
      <c r="J25" s="207">
        <f>J24/I24-1</f>
        <v>8.6122468377924921E-2</v>
      </c>
      <c r="K25" s="207">
        <f>K24/J24-1</f>
        <v>8.4919634390782317E-2</v>
      </c>
      <c r="L25" s="194"/>
      <c r="M25" s="208"/>
      <c r="N25" s="208"/>
      <c r="O25" s="208"/>
      <c r="P25" s="208"/>
      <c r="Q25" s="208"/>
      <c r="R25" s="207">
        <f>R24/M24-1</f>
        <v>0.13960761841478542</v>
      </c>
      <c r="S25" s="207">
        <f>S24/R24-1</f>
        <v>9.4970783875925502E-2</v>
      </c>
      <c r="T25" s="207">
        <f>T24/S24-1</f>
        <v>0.10558425496905599</v>
      </c>
      <c r="U25" s="207">
        <f>U24/T24-1</f>
        <v>0.10873367517581412</v>
      </c>
      <c r="V25" s="66"/>
      <c r="W25" s="66"/>
      <c r="X25" s="66"/>
      <c r="Y25" s="66"/>
      <c r="Z25" s="66"/>
      <c r="AA25" s="66"/>
      <c r="AB25" s="66"/>
      <c r="AC25" s="66"/>
      <c r="AD25" s="66"/>
      <c r="AE25" s="66"/>
      <c r="AF25" s="66"/>
      <c r="AG25" s="66"/>
    </row>
    <row r="26" spans="2:33" x14ac:dyDescent="0.55000000000000004">
      <c r="B26" s="66" t="str">
        <f>B14</f>
        <v>Gross Profit</v>
      </c>
      <c r="C26" s="69">
        <f>Master!H260</f>
        <v>4323.4629999999997</v>
      </c>
      <c r="D26" s="195">
        <f>Interims!P30</f>
        <v>1258.527</v>
      </c>
      <c r="E26" s="195">
        <f>Interims!Q30</f>
        <v>1298.944</v>
      </c>
      <c r="F26" s="195">
        <f>Interims!R30</f>
        <v>1301.6770501925928</v>
      </c>
      <c r="G26" s="195">
        <f>Interims!S30</f>
        <v>1369.0376211274067</v>
      </c>
      <c r="H26" s="69">
        <f>Master!I260</f>
        <v>5228.1856713199995</v>
      </c>
      <c r="I26" s="69">
        <f>Master!J260</f>
        <v>6054.8919508439994</v>
      </c>
      <c r="J26" s="69">
        <f>Master!K260</f>
        <v>6856.1205770304005</v>
      </c>
      <c r="K26" s="69">
        <f>Master!L260</f>
        <v>7719.7285466929443</v>
      </c>
      <c r="L26" s="66"/>
      <c r="M26" s="193">
        <f>_xll.VAData("SQ_US",M$2,"Gross profit/(loss) - Cash app","consensus.vaactuals")</f>
        <v>4323.4624999999996</v>
      </c>
      <c r="N26" s="193">
        <f>_xll.VAData("SQ_US",N$2,"Gross profit/(loss) - Cash app","consensus.vaactuals")</f>
        <v>1258.527</v>
      </c>
      <c r="O26" s="193">
        <f>_xll.VAData("SQ_US",O$2,"Gross profit/(loss) - Cash app","consensus.vaactuals")</f>
        <v>1298.944</v>
      </c>
      <c r="P26" s="193">
        <f>_xll.VAData("SQ_US",P$2,"Gross profit/(loss) - Cash app","consensus.vaactuals")</f>
        <v>1292.9488949577121</v>
      </c>
      <c r="Q26" s="193">
        <f>_xll.VAData("SQ_US",Q$2,"Gross profit/(loss) - Cash app","consensus.vaactuals")</f>
        <v>1399.6804061851794</v>
      </c>
      <c r="R26" s="193">
        <f>_xll.VAData("SQ_US",R$2,"Gross profit/(loss) - Cash app","consensus.vaactuals")</f>
        <v>5244.37546637574</v>
      </c>
      <c r="S26" s="193">
        <f>_xll.VAData("SQ_US",S$2,"Gross profit/(loss) - Cash app","consensus.vaactuals")</f>
        <v>6099.9264509634586</v>
      </c>
      <c r="T26" s="193">
        <f>_xll.VAData("SQ_US",T$2,"Gross profit/(loss) - Cash app","consensus.vaactuals")</f>
        <v>6930.899607069533</v>
      </c>
      <c r="U26" s="193">
        <f>_xll.VAData("SQ_US",U$2,"Gross profit/(loss) - Cash app","consensus.vaactuals")</f>
        <v>8213.9398880946919</v>
      </c>
      <c r="V26" s="66"/>
      <c r="W26" s="66"/>
      <c r="X26" s="66"/>
      <c r="Y26" s="66"/>
      <c r="Z26" s="66"/>
      <c r="AA26" s="66"/>
      <c r="AB26" s="66"/>
      <c r="AC26" s="66"/>
      <c r="AD26" s="66"/>
      <c r="AE26" s="66"/>
      <c r="AF26" s="66"/>
      <c r="AG26" s="66"/>
    </row>
    <row r="27" spans="2:33" x14ac:dyDescent="0.55000000000000004">
      <c r="B27" s="66" t="s">
        <v>243</v>
      </c>
      <c r="C27" s="69"/>
      <c r="D27" s="195"/>
      <c r="E27" s="195"/>
      <c r="F27" s="195"/>
      <c r="G27" s="195"/>
      <c r="H27" s="207">
        <f>H26/C26-1</f>
        <v>0.20925879817174331</v>
      </c>
      <c r="I27" s="207">
        <f>I26/H26-1</f>
        <v>0.15812488911000644</v>
      </c>
      <c r="J27" s="207">
        <f>J26/I26-1</f>
        <v>0.13232748539380901</v>
      </c>
      <c r="K27" s="207">
        <f>K26/J26-1</f>
        <v>0.12596160758254915</v>
      </c>
      <c r="L27" s="194"/>
      <c r="M27" s="208"/>
      <c r="N27" s="208"/>
      <c r="O27" s="208"/>
      <c r="P27" s="208"/>
      <c r="Q27" s="208"/>
      <c r="R27" s="207">
        <f>R26/M26-1</f>
        <v>0.21300357442113582</v>
      </c>
      <c r="S27" s="207">
        <f>S26/R26-1</f>
        <v>0.16313686731109844</v>
      </c>
      <c r="T27" s="207">
        <f>T26/S26-1</f>
        <v>0.13622675007414653</v>
      </c>
      <c r="U27" s="207">
        <f>U26/T26-1</f>
        <v>0.18511886677978362</v>
      </c>
      <c r="V27" s="66"/>
      <c r="W27" s="66"/>
      <c r="X27" s="66"/>
      <c r="Y27" s="66"/>
      <c r="Z27" s="66"/>
      <c r="AA27" s="66"/>
      <c r="AB27" s="66"/>
      <c r="AC27" s="66"/>
      <c r="AD27" s="66"/>
      <c r="AE27" s="66"/>
      <c r="AF27" s="66"/>
      <c r="AG27" s="66"/>
    </row>
    <row r="28" spans="2:33" x14ac:dyDescent="0.55000000000000004">
      <c r="B28" s="66" t="s">
        <v>171</v>
      </c>
      <c r="C28" s="171">
        <f>C26/C24</f>
        <v>0.29448000726891993</v>
      </c>
      <c r="D28" s="171">
        <f t="shared" ref="D28:K28" si="4">D26/D24</f>
        <v>0.30159500434229974</v>
      </c>
      <c r="E28" s="171">
        <f t="shared" si="4"/>
        <v>0.31460363924184759</v>
      </c>
      <c r="F28" s="171">
        <f t="shared" si="4"/>
        <v>0.31812767813484266</v>
      </c>
      <c r="G28" s="171">
        <f t="shared" si="4"/>
        <v>0.31691682415214611</v>
      </c>
      <c r="H28" s="171">
        <f t="shared" si="4"/>
        <v>0.31281632383858765</v>
      </c>
      <c r="I28" s="171">
        <f t="shared" si="4"/>
        <v>0.33134930847595528</v>
      </c>
      <c r="J28" s="171">
        <f t="shared" si="4"/>
        <v>0.34544532516106974</v>
      </c>
      <c r="K28" s="171">
        <f t="shared" si="4"/>
        <v>0.35851335096230164</v>
      </c>
      <c r="L28" s="171"/>
      <c r="M28" s="171">
        <f>M26/M24</f>
        <v>0.29447996318406605</v>
      </c>
      <c r="N28" s="171">
        <f t="shared" ref="N28:U28" si="5">N26/N24</f>
        <v>0.30159500434229974</v>
      </c>
      <c r="O28" s="171">
        <f t="shared" si="5"/>
        <v>0.31460363924184759</v>
      </c>
      <c r="P28" s="171">
        <f t="shared" si="5"/>
        <v>0.31331268549960634</v>
      </c>
      <c r="Q28" s="171">
        <f t="shared" si="5"/>
        <v>0.32618546932194931</v>
      </c>
      <c r="R28" s="171">
        <f t="shared" si="5"/>
        <v>0.31344582307597729</v>
      </c>
      <c r="S28" s="171">
        <f t="shared" si="5"/>
        <v>0.33295901415179008</v>
      </c>
      <c r="T28" s="171">
        <f t="shared" si="5"/>
        <v>0.34218734289786795</v>
      </c>
      <c r="U28" s="171">
        <f t="shared" si="5"/>
        <v>0.36576202664467672</v>
      </c>
      <c r="V28" s="66"/>
      <c r="W28" s="66"/>
      <c r="X28" s="66"/>
      <c r="Y28" s="66"/>
      <c r="Z28" s="66"/>
      <c r="AA28" s="66"/>
      <c r="AB28" s="66"/>
      <c r="AC28" s="66"/>
      <c r="AD28" s="66"/>
      <c r="AE28" s="66"/>
      <c r="AF28" s="66"/>
      <c r="AG28" s="66"/>
    </row>
    <row r="29" spans="2:33" x14ac:dyDescent="0.55000000000000004">
      <c r="B29" s="66"/>
      <c r="C29" s="69"/>
      <c r="D29" s="195"/>
      <c r="E29" s="195"/>
      <c r="F29" s="195"/>
      <c r="G29" s="195"/>
      <c r="H29" s="69"/>
      <c r="I29" s="69"/>
      <c r="J29" s="69"/>
      <c r="K29" s="69"/>
      <c r="L29" s="66"/>
      <c r="M29" s="193"/>
      <c r="N29" s="193"/>
      <c r="O29" s="193"/>
      <c r="P29" s="193"/>
      <c r="Q29" s="193"/>
      <c r="R29" s="193"/>
      <c r="S29" s="193"/>
      <c r="T29" s="193"/>
      <c r="U29" s="193"/>
      <c r="V29" s="66"/>
      <c r="W29" s="66"/>
      <c r="X29" s="66"/>
      <c r="Y29" s="66"/>
      <c r="Z29" s="66"/>
      <c r="AA29" s="66"/>
      <c r="AB29" s="66"/>
      <c r="AC29" s="66"/>
      <c r="AD29" s="66"/>
      <c r="AE29" s="66"/>
      <c r="AF29" s="66"/>
      <c r="AG29" s="66"/>
    </row>
    <row r="30" spans="2:33" x14ac:dyDescent="0.55000000000000004">
      <c r="B30" s="66" t="s">
        <v>653</v>
      </c>
      <c r="C30" s="69">
        <f>Master!H255</f>
        <v>1047.0929999999998</v>
      </c>
      <c r="D30" s="195">
        <f>Interims!P263</f>
        <v>279.64500000000044</v>
      </c>
      <c r="E30" s="195">
        <f>Interims!Q263</f>
        <v>284.87876999999986</v>
      </c>
      <c r="F30" s="195">
        <f>Interims!R263</f>
        <v>301.49999999999994</v>
      </c>
      <c r="G30" s="195">
        <f>Interims!S263</f>
        <v>372.71372999999977</v>
      </c>
      <c r="H30" s="69">
        <f>Master!I255</f>
        <v>1238.7375</v>
      </c>
      <c r="I30" s="69">
        <f>Master!J255</f>
        <v>1548.421875</v>
      </c>
      <c r="J30" s="69">
        <f>Master!K255</f>
        <v>1981.9800000000002</v>
      </c>
      <c r="K30" s="69">
        <f>Master!L255</f>
        <v>2477.4750000000004</v>
      </c>
      <c r="L30" s="66"/>
      <c r="M30" s="193">
        <f>_xll.VAData("SQ_US",M$2,"Total revenue - Cash app - Subscription and services - Afterpay","consensus.vaactuals","CD")</f>
        <v>1042.02325</v>
      </c>
      <c r="N30" s="193">
        <f>_xll.VAData("SQ_US",N$2,"Total revenue - Cash app - Subscription and services - Afterpay","consensus.vaactuals","CD")</f>
        <v>265.85399545454538</v>
      </c>
      <c r="O30" s="193">
        <f>_xll.VAData("SQ_US",O$2,"Total revenue - Cash app - Subscription and services - Afterpay","consensus.vaactuals","CD")</f>
        <v>293.78883780991725</v>
      </c>
      <c r="P30" s="193">
        <f>_xll.VAData("SQ_US",P$2,"Total revenue - Cash app - Subscription and services - Afterpay","consensus.vaactuals","CD")</f>
        <v>287.74099999999999</v>
      </c>
      <c r="Q30" s="193">
        <f>_xll.VAData("SQ_US",Q$2,"Total revenue - Cash app - Subscription and services - Afterpay","consensus.vaactuals","CD")</f>
        <v>341.89633333333336</v>
      </c>
      <c r="R30" s="193">
        <f>_xll.VAData("SQ_US",R$2,"Total revenue - Cash app - Subscription and services - Afterpay","consensus.vaactuals","CD")</f>
        <v>1177.4457761707999</v>
      </c>
      <c r="S30" s="193">
        <f>_xll.VAData("SQ_US",S$2,"Total revenue - Cash app - Subscription and services - Afterpay","consensus.vaactuals","CD")</f>
        <v>1353.8247396797533</v>
      </c>
      <c r="T30" s="193">
        <f>_xll.VAData("SQ_US",T$2,"Total revenue - Cash app - Subscription and services - Afterpay","consensus.vaactuals","CD")</f>
        <v>1442.596521091815</v>
      </c>
      <c r="U30" s="193">
        <f>_xll.VAData("SQ_US",U$2,"Total revenue - Cash app - Subscription and services - Afterpay","consensus.vaactuals","CD")</f>
        <v>1707.7963366363599</v>
      </c>
      <c r="V30" s="66"/>
      <c r="W30" s="66"/>
      <c r="X30" s="66"/>
      <c r="Y30" s="66"/>
      <c r="Z30" s="66"/>
      <c r="AA30" s="66"/>
      <c r="AB30" s="66"/>
      <c r="AC30" s="66"/>
      <c r="AD30" s="66"/>
      <c r="AE30" s="66"/>
      <c r="AF30" s="66"/>
      <c r="AG30" s="66"/>
    </row>
    <row r="31" spans="2:33" x14ac:dyDescent="0.55000000000000004">
      <c r="B31" s="66" t="s">
        <v>600</v>
      </c>
      <c r="C31" s="69">
        <f>Master!H263</f>
        <v>755.17099999999937</v>
      </c>
      <c r="D31" s="195">
        <f>Interims!P267</f>
        <v>205.07300000000029</v>
      </c>
      <c r="E31" s="195">
        <f>Interims!Q267</f>
        <v>208.9110979999999</v>
      </c>
      <c r="F31" s="195">
        <f>Interims!R267</f>
        <v>223.10999999999996</v>
      </c>
      <c r="G31" s="195">
        <f>Interims!S267</f>
        <v>254.79690199999976</v>
      </c>
      <c r="H31" s="69">
        <f>Master!I263</f>
        <v>891.89099999999996</v>
      </c>
      <c r="I31" s="69">
        <f>Master!J263</f>
        <v>1114.86375</v>
      </c>
      <c r="J31" s="69">
        <f>Master!K263</f>
        <v>1427.0256000000004</v>
      </c>
      <c r="K31" s="69">
        <f>Master!L263</f>
        <v>1783.7820000000004</v>
      </c>
      <c r="L31" s="66"/>
      <c r="M31" s="193">
        <f>_xll.VAData("SQ_US",M$2,"Gross profit/(loss) - Cash app - Afterpay","consensus.vaactuals","CD")</f>
        <v>755</v>
      </c>
      <c r="N31" s="193">
        <f>_xll.VAData("SQ_US",N$2,"Gross profit/(loss) - Cash app - Afterpay","consensus.vaactuals","CD")</f>
        <v>199.21714285714285</v>
      </c>
      <c r="O31" s="193">
        <f>_xll.VAData("SQ_US",O$2,"Gross profit/(loss) - Cash app - Afterpay","consensus.vaactuals","CD")</f>
        <v>215.06232868217052</v>
      </c>
      <c r="P31" s="193">
        <f>_xll.VAData("SQ_US",P$2,"Gross profit/(loss) - Cash app - Afterpay","consensus.vaactuals","CD")</f>
        <v>223.47286041860474</v>
      </c>
      <c r="Q31" s="193">
        <f>_xll.VAData("SQ_US",Q$2,"Gross profit/(loss) - Cash app - Afterpay","consensus.vaactuals","CD")</f>
        <v>282.80492194193653</v>
      </c>
      <c r="R31" s="193">
        <f>_xll.VAData("SQ_US",R$2,"Gross profit/(loss) - Cash app - Afterpay","consensus.vaactuals","CD")</f>
        <v>920.63542538379727</v>
      </c>
      <c r="S31" s="193">
        <f>_xll.VAData("SQ_US",S$2,"Gross profit/(loss) - Cash app - Afterpay","consensus.vaactuals","CD")</f>
        <v>1079.6853658996249</v>
      </c>
      <c r="T31" s="193">
        <f>_xll.VAData("SQ_US",T$2,"Gross profit/(loss) - Cash app - Afterpay","consensus.vaactuals","CD")</f>
        <v>1256.3279968571501</v>
      </c>
      <c r="U31" s="193">
        <f>_xll.VAData("SQ_US",U$2,"Gross profit/(loss) - Cash app - Afterpay","consensus.vaactuals","CD")</f>
        <v>1336.6796589451301</v>
      </c>
      <c r="V31" s="66"/>
      <c r="W31" s="66"/>
      <c r="X31" s="66"/>
      <c r="Y31" s="66"/>
      <c r="Z31" s="66"/>
      <c r="AA31" s="66"/>
      <c r="AB31" s="66"/>
      <c r="AC31" s="66"/>
      <c r="AD31" s="66"/>
      <c r="AE31" s="66"/>
      <c r="AF31" s="66"/>
      <c r="AG31" s="66"/>
    </row>
    <row r="32" spans="2:33" x14ac:dyDescent="0.55000000000000004">
      <c r="B32" s="66" t="s">
        <v>654</v>
      </c>
      <c r="C32" s="69">
        <f>Master!H266</f>
        <v>3568.2920000000004</v>
      </c>
      <c r="D32" s="195">
        <f>D26-D31</f>
        <v>1053.4539999999997</v>
      </c>
      <c r="E32" s="195">
        <f>E26-E31</f>
        <v>1090.0329020000001</v>
      </c>
      <c r="F32" s="195">
        <f>F26-F31</f>
        <v>1078.5670501925929</v>
      </c>
      <c r="G32" s="195">
        <f>G26-G31</f>
        <v>1114.2407191274069</v>
      </c>
      <c r="H32" s="69">
        <f>Master!I266</f>
        <v>4336.2946713199999</v>
      </c>
      <c r="I32" s="69">
        <f>Master!J266</f>
        <v>4940.0282008439999</v>
      </c>
      <c r="J32" s="69">
        <f>Master!K266</f>
        <v>5429.0949770304005</v>
      </c>
      <c r="K32" s="69">
        <f>Master!L266</f>
        <v>5935.9465466929441</v>
      </c>
      <c r="L32" s="66"/>
      <c r="M32" s="193">
        <f>M26-M31</f>
        <v>3568.4624999999996</v>
      </c>
      <c r="N32" s="193">
        <f t="shared" ref="N32:U32" si="6">N26-N31</f>
        <v>1059.3098571428573</v>
      </c>
      <c r="O32" s="193">
        <f t="shared" si="6"/>
        <v>1083.8816713178294</v>
      </c>
      <c r="P32" s="193">
        <f t="shared" si="6"/>
        <v>1069.4760345391073</v>
      </c>
      <c r="Q32" s="193">
        <f t="shared" si="6"/>
        <v>1116.8754842432429</v>
      </c>
      <c r="R32" s="193">
        <f t="shared" si="6"/>
        <v>4323.7400409919428</v>
      </c>
      <c r="S32" s="193">
        <f t="shared" si="6"/>
        <v>5020.2410850638335</v>
      </c>
      <c r="T32" s="193">
        <f t="shared" si="6"/>
        <v>5674.5716102123824</v>
      </c>
      <c r="U32" s="193">
        <f t="shared" si="6"/>
        <v>6877.2602291495623</v>
      </c>
      <c r="V32" s="66"/>
      <c r="W32" s="66"/>
      <c r="X32" s="66"/>
      <c r="Y32" s="66"/>
      <c r="Z32" s="66"/>
      <c r="AA32" s="66"/>
      <c r="AB32" s="66"/>
      <c r="AC32" s="66"/>
      <c r="AD32" s="66"/>
      <c r="AE32" s="66"/>
      <c r="AF32" s="66"/>
      <c r="AG32" s="66"/>
    </row>
    <row r="33" spans="2:33" x14ac:dyDescent="0.55000000000000004">
      <c r="B33" s="66" t="s">
        <v>599</v>
      </c>
      <c r="C33" s="135">
        <f t="shared" ref="C33:K33" si="7">C32/(C21*1000)</f>
        <v>1.4424568268546668E-2</v>
      </c>
      <c r="D33" s="135">
        <f t="shared" si="7"/>
        <v>1.4726413643670926E-2</v>
      </c>
      <c r="E33" s="135">
        <f t="shared" si="7"/>
        <v>1.5384862627203569E-2</v>
      </c>
      <c r="F33" s="135">
        <f t="shared" si="7"/>
        <v>1.4934133973667059E-2</v>
      </c>
      <c r="G33" s="135">
        <f t="shared" si="7"/>
        <v>1.5183151600005461E-2</v>
      </c>
      <c r="H33" s="135">
        <f t="shared" si="7"/>
        <v>1.5056879035885928E-2</v>
      </c>
      <c r="I33" s="135">
        <f t="shared" si="7"/>
        <v>1.4813229679767725E-2</v>
      </c>
      <c r="J33" s="135">
        <f t="shared" si="7"/>
        <v>1.4130119995619184E-2</v>
      </c>
      <c r="K33" s="135">
        <f t="shared" si="7"/>
        <v>1.3716910504888146E-2</v>
      </c>
      <c r="L33" s="66"/>
      <c r="M33" s="135">
        <f>M32/(M21*1000)</f>
        <v>1.4388961693548386E-2</v>
      </c>
      <c r="N33" s="135">
        <f t="shared" ref="N33:U33" si="8">N32/(N21*1000)</f>
        <v>1.4808273672228381E-2</v>
      </c>
      <c r="O33" s="135">
        <f t="shared" si="8"/>
        <v>1.5298043377197632E-2</v>
      </c>
      <c r="P33" s="135">
        <f t="shared" si="8"/>
        <v>1.5016756720651557E-2</v>
      </c>
      <c r="Q33" s="135">
        <f t="shared" si="8"/>
        <v>1.5385993221739875E-2</v>
      </c>
      <c r="R33" s="135">
        <f t="shared" si="8"/>
        <v>1.5119229427119213E-2</v>
      </c>
      <c r="S33" s="135">
        <f t="shared" si="8"/>
        <v>1.548786385570731E-2</v>
      </c>
      <c r="T33" s="135">
        <f t="shared" si="8"/>
        <v>1.5383738372651707E-2</v>
      </c>
      <c r="U33" s="135">
        <f t="shared" si="8"/>
        <v>1.6738360899528369E-2</v>
      </c>
      <c r="V33" s="66"/>
      <c r="W33" s="66"/>
      <c r="X33" s="66"/>
      <c r="Y33" s="66"/>
      <c r="Z33" s="66"/>
      <c r="AA33" s="66"/>
      <c r="AB33" s="66"/>
      <c r="AC33" s="66"/>
      <c r="AD33" s="66"/>
      <c r="AE33" s="66"/>
      <c r="AF33" s="66"/>
      <c r="AG33" s="66"/>
    </row>
    <row r="34" spans="2:33" x14ac:dyDescent="0.55000000000000004">
      <c r="B34" s="66"/>
      <c r="C34" s="66"/>
      <c r="D34" s="66"/>
      <c r="E34" s="66"/>
      <c r="F34" s="66"/>
      <c r="G34" s="66"/>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row>
    <row r="35" spans="2:33" x14ac:dyDescent="0.55000000000000004">
      <c r="B35" s="66" t="s">
        <v>354</v>
      </c>
      <c r="C35" s="69">
        <f>Master!H74</f>
        <v>-278.839</v>
      </c>
      <c r="D35" s="69">
        <f>Interims!P80</f>
        <v>249.74299999999999</v>
      </c>
      <c r="E35" s="69">
        <f>Interims!Q80</f>
        <v>306.56200000000001</v>
      </c>
      <c r="F35" s="69">
        <f>Interims!R80</f>
        <v>229</v>
      </c>
      <c r="G35" s="69">
        <f>Interims!S80</f>
        <v>241.80144981266164</v>
      </c>
      <c r="H35" s="69">
        <f>Master!I74</f>
        <v>1027.1064498126616</v>
      </c>
      <c r="I35" s="69">
        <f>Master!J74</f>
        <v>1700.5444157822949</v>
      </c>
      <c r="J35" s="69">
        <f>Master!K74</f>
        <v>2364.6981961093661</v>
      </c>
      <c r="K35" s="69">
        <f>Master!L74</f>
        <v>2876.1647721016689</v>
      </c>
      <c r="L35" s="66"/>
      <c r="M35" s="69">
        <f>_xll.VAData("SQ_US",M$2,"Operating income/(loss)","consensus.vaactuals","CD")</f>
        <v>-278.839</v>
      </c>
      <c r="N35" s="69">
        <f>_xll.VAData("SQ_US",N$2,"Operating income/(loss)","consensus.vaactuals","CD")</f>
        <v>249.74299999999999</v>
      </c>
      <c r="O35" s="69">
        <f>_xll.VAData("SQ_US",O$2,"Operating income/(loss)","consensus.vaactuals","CD")</f>
        <v>306.56200000000001</v>
      </c>
      <c r="P35" s="69">
        <f>_xll.VAData("SQ_US",P$2,"Operating income/(loss)","consensus.vaactuals","CD")</f>
        <v>250.80510785686454</v>
      </c>
      <c r="Q35" s="69">
        <f>_xll.VAData("SQ_US",Q$2,"Operating income/(loss)","consensus.vaactuals","CD")</f>
        <v>304.87291792005857</v>
      </c>
      <c r="R35" s="69">
        <f>_xll.VAData("SQ_US",R$2,"Operating income/(loss)","consensus.vaactuals","CD")</f>
        <v>1107.7101466131794</v>
      </c>
      <c r="S35" s="69">
        <f>_xll.VAData("SQ_US",S$2,"Operating income/(loss)","consensus.vaactuals","CD")</f>
        <v>1812.7838706206212</v>
      </c>
      <c r="T35" s="69">
        <f>_xll.VAData("SQ_US",T$2,"Operating income/(loss)","consensus.vaactuals","CD")</f>
        <v>2554.78941855431</v>
      </c>
      <c r="U35" s="69">
        <f>_xll.VAData("SQ_US",U$2,"Operating income/(loss)","consensus.vaactuals","CD")</f>
        <v>3497.4253881864188</v>
      </c>
      <c r="V35" s="66"/>
      <c r="W35" s="66"/>
      <c r="X35" s="66"/>
      <c r="Y35" s="66"/>
      <c r="Z35" s="66"/>
      <c r="AA35" s="66"/>
      <c r="AB35" s="66"/>
      <c r="AC35" s="66"/>
      <c r="AD35" s="66"/>
      <c r="AE35" s="66"/>
      <c r="AF35" s="66"/>
      <c r="AG35" s="66"/>
    </row>
    <row r="36" spans="2:33" x14ac:dyDescent="0.55000000000000004">
      <c r="B36" s="66" t="s">
        <v>613</v>
      </c>
      <c r="C36" s="69">
        <f>C37-C35</f>
        <v>630.19000000000005</v>
      </c>
      <c r="D36" s="69">
        <f t="shared" ref="D36:K36" si="9">D37-D35</f>
        <v>114.52100000000002</v>
      </c>
      <c r="E36" s="69">
        <f t="shared" si="9"/>
        <v>92.555999999999983</v>
      </c>
      <c r="F36" s="69">
        <f t="shared" si="9"/>
        <v>101</v>
      </c>
      <c r="G36" s="69">
        <f t="shared" si="9"/>
        <v>110.92299999999989</v>
      </c>
      <c r="H36" s="69">
        <f t="shared" si="9"/>
        <v>419</v>
      </c>
      <c r="I36" s="69">
        <f t="shared" si="9"/>
        <v>367</v>
      </c>
      <c r="J36" s="69">
        <f t="shared" si="9"/>
        <v>367</v>
      </c>
      <c r="K36" s="69">
        <f t="shared" si="9"/>
        <v>367</v>
      </c>
      <c r="L36" s="66"/>
      <c r="M36" s="69">
        <f t="shared" ref="M36:U36" si="10">M37-M35</f>
        <v>630.19000000000005</v>
      </c>
      <c r="N36" s="69">
        <f t="shared" si="10"/>
        <v>114.52100000000002</v>
      </c>
      <c r="O36" s="69">
        <f t="shared" si="10"/>
        <v>92.555999999999983</v>
      </c>
      <c r="P36" s="69">
        <f t="shared" si="10"/>
        <v>73.876972083271028</v>
      </c>
      <c r="Q36" s="69">
        <f t="shared" si="10"/>
        <v>64.731378106060447</v>
      </c>
      <c r="R36" s="69">
        <f t="shared" si="10"/>
        <v>339.5069681546795</v>
      </c>
      <c r="S36" s="69">
        <f t="shared" si="10"/>
        <v>278.42583771004547</v>
      </c>
      <c r="T36" s="69">
        <f t="shared" si="10"/>
        <v>252.33787081154878</v>
      </c>
      <c r="U36" s="69">
        <f t="shared" si="10"/>
        <v>185.00465940504273</v>
      </c>
      <c r="V36" s="66"/>
      <c r="W36" s="66"/>
      <c r="X36" s="66"/>
      <c r="Y36" s="66"/>
      <c r="Z36" s="66"/>
      <c r="AA36" s="66"/>
      <c r="AB36" s="66"/>
      <c r="AC36" s="66"/>
      <c r="AD36" s="66"/>
      <c r="AE36" s="66"/>
      <c r="AF36" s="66"/>
      <c r="AG36" s="66"/>
    </row>
    <row r="37" spans="2:33" x14ac:dyDescent="0.55000000000000004">
      <c r="B37" s="66" t="s">
        <v>619</v>
      </c>
      <c r="C37" s="69">
        <f>Master!H87</f>
        <v>351.351</v>
      </c>
      <c r="D37" s="69">
        <f>Interims!P93</f>
        <v>364.26400000000001</v>
      </c>
      <c r="E37" s="69">
        <f>Interims!Q93</f>
        <v>399.11799999999999</v>
      </c>
      <c r="F37" s="69">
        <f>Interims!R93</f>
        <v>330</v>
      </c>
      <c r="G37" s="69">
        <f>Interims!S93</f>
        <v>352.72444981266153</v>
      </c>
      <c r="H37" s="69">
        <f>Master!I87</f>
        <v>1446.1064498126616</v>
      </c>
      <c r="I37" s="69">
        <f>Master!J87</f>
        <v>2067.5444157822949</v>
      </c>
      <c r="J37" s="69">
        <f>Master!K87</f>
        <v>2731.6981961093661</v>
      </c>
      <c r="K37" s="69">
        <f>Master!L87</f>
        <v>3243.1647721016689</v>
      </c>
      <c r="L37" s="66"/>
      <c r="M37" s="193">
        <f>_xll.VAData("SQ_US",M$2,"Adjusted operating income/(loss) (Company defined)","consensus.vaactuals","CD")</f>
        <v>351.351</v>
      </c>
      <c r="N37" s="193">
        <f>_xll.VAData("SQ_US",N$2,"Adjusted operating income/(loss) (Company defined)","consensus.vaactuals","CD")</f>
        <v>364.26400000000001</v>
      </c>
      <c r="O37" s="193">
        <f>_xll.VAData("SQ_US",O$2,"Adjusted operating income/(loss) (Company defined)","consensus.vaactuals","CD")</f>
        <v>399.11799999999999</v>
      </c>
      <c r="P37" s="193">
        <f>_xll.VAData("SQ_US",P$2,"Adjusted operating income/(loss) (Company defined)","consensus.vaactuals","CD")</f>
        <v>324.68207994013557</v>
      </c>
      <c r="Q37" s="193">
        <f>_xll.VAData("SQ_US",Q$2,"Adjusted operating income/(loss) (Company defined)","consensus.vaactuals","CD")</f>
        <v>369.60429602611902</v>
      </c>
      <c r="R37" s="193">
        <f>_xll.VAData("SQ_US",R$2,"Adjusted operating income/(loss) (Company defined)","consensus.vaactuals","CD")</f>
        <v>1447.2171147678589</v>
      </c>
      <c r="S37" s="193">
        <f>_xll.VAData("SQ_US",S$2,"Adjusted operating income/(loss) (Company defined)","consensus.vaactuals","CD")</f>
        <v>2091.2097083306667</v>
      </c>
      <c r="T37" s="193">
        <f>_xll.VAData("SQ_US",T$2,"Adjusted operating income/(loss) (Company defined)","consensus.vaactuals","CD")</f>
        <v>2807.1272893658588</v>
      </c>
      <c r="U37" s="193">
        <f>_xll.VAData("SQ_US",U$2,"Adjusted operating income/(loss) (Company defined)","consensus.vaactuals","CD")</f>
        <v>3682.4300475914615</v>
      </c>
      <c r="V37" s="66"/>
      <c r="W37" s="66"/>
      <c r="X37" s="66"/>
      <c r="Y37" s="66"/>
      <c r="Z37" s="66"/>
      <c r="AA37" s="66"/>
      <c r="AB37" s="66"/>
      <c r="AC37" s="66"/>
      <c r="AD37" s="66"/>
      <c r="AE37" s="66"/>
      <c r="AF37" s="66"/>
      <c r="AG37" s="66"/>
    </row>
    <row r="38" spans="2:33" x14ac:dyDescent="0.55000000000000004">
      <c r="B38" s="194" t="s">
        <v>617</v>
      </c>
      <c r="C38" s="211">
        <f t="shared" ref="C38:K38" si="11">C37/C7</f>
        <v>4.6816300740610849E-2</v>
      </c>
      <c r="D38" s="211">
        <f t="shared" si="11"/>
        <v>0.17391678002055888</v>
      </c>
      <c r="E38" s="211">
        <f t="shared" si="11"/>
        <v>0.17869781685978831</v>
      </c>
      <c r="F38" s="211">
        <f t="shared" si="11"/>
        <v>0.14740050998851503</v>
      </c>
      <c r="G38" s="211">
        <f t="shared" si="11"/>
        <v>0.15134116332413985</v>
      </c>
      <c r="H38" s="211">
        <f t="shared" si="11"/>
        <v>0.16253118855118989</v>
      </c>
      <c r="I38" s="211">
        <f t="shared" si="11"/>
        <v>0.20338838122709671</v>
      </c>
      <c r="J38" s="211">
        <f t="shared" si="11"/>
        <v>0.23742681359568732</v>
      </c>
      <c r="K38" s="211">
        <f t="shared" si="11"/>
        <v>0.25251250899964611</v>
      </c>
      <c r="L38" s="194"/>
      <c r="M38" s="211">
        <f t="shared" ref="M38:U38" si="12">M37/M7</f>
        <v>4.6816300740610849E-2</v>
      </c>
      <c r="N38" s="211">
        <f t="shared" si="12"/>
        <v>0.17391678002055888</v>
      </c>
      <c r="O38" s="211">
        <f t="shared" si="12"/>
        <v>0.17869781685978831</v>
      </c>
      <c r="P38" s="211">
        <f t="shared" si="12"/>
        <v>0.14531427247338552</v>
      </c>
      <c r="Q38" s="211">
        <f t="shared" si="12"/>
        <v>0.15699142020062898</v>
      </c>
      <c r="R38" s="211">
        <f t="shared" si="12"/>
        <v>0.16232152001931907</v>
      </c>
      <c r="S38" s="211">
        <f t="shared" si="12"/>
        <v>0.20381324330181028</v>
      </c>
      <c r="T38" s="211">
        <f t="shared" si="12"/>
        <v>0.24123482497583909</v>
      </c>
      <c r="U38" s="211">
        <f t="shared" si="12"/>
        <v>0.27761931426440251</v>
      </c>
      <c r="V38" s="66"/>
      <c r="W38" s="66"/>
      <c r="X38" s="66"/>
      <c r="Y38" s="66"/>
      <c r="Z38" s="66"/>
      <c r="AA38" s="66"/>
      <c r="AB38" s="66"/>
      <c r="AC38" s="66"/>
      <c r="AD38" s="66"/>
      <c r="AE38" s="66"/>
      <c r="AF38" s="66"/>
      <c r="AG38" s="66"/>
    </row>
    <row r="39" spans="2:33" x14ac:dyDescent="0.55000000000000004">
      <c r="B39" s="194"/>
      <c r="C39" s="211"/>
      <c r="D39" s="211"/>
      <c r="E39" s="211"/>
      <c r="F39" s="211"/>
      <c r="G39" s="211"/>
      <c r="H39" s="211"/>
      <c r="I39" s="211"/>
      <c r="J39" s="211"/>
      <c r="K39" s="211"/>
      <c r="L39" s="194"/>
      <c r="M39" s="211"/>
      <c r="N39" s="211"/>
      <c r="O39" s="211"/>
      <c r="P39" s="211"/>
      <c r="Q39" s="211"/>
      <c r="R39" s="211"/>
      <c r="S39" s="211"/>
      <c r="T39" s="211"/>
      <c r="U39" s="211"/>
      <c r="V39" s="66"/>
      <c r="W39" s="66"/>
      <c r="X39" s="66"/>
      <c r="Y39" s="66"/>
      <c r="Z39" s="66"/>
      <c r="AA39" s="66"/>
      <c r="AB39" s="66"/>
      <c r="AC39" s="66"/>
      <c r="AD39" s="66"/>
      <c r="AE39" s="66"/>
      <c r="AF39" s="66"/>
      <c r="AG39" s="66"/>
    </row>
    <row r="40" spans="2:33" x14ac:dyDescent="0.55000000000000004">
      <c r="B40" s="194" t="s">
        <v>668</v>
      </c>
      <c r="C40" s="211">
        <f t="shared" ref="C40:K40" si="13">C8+C38</f>
        <v>0.2670054953834089</v>
      </c>
      <c r="D40" s="211">
        <f t="shared" si="13"/>
        <v>0.39548014466177783</v>
      </c>
      <c r="E40" s="211">
        <f t="shared" si="13"/>
        <v>0.37556765402294284</v>
      </c>
      <c r="F40" s="211">
        <f t="shared" si="13"/>
        <v>0.32667802765825116</v>
      </c>
      <c r="G40" s="211">
        <f t="shared" si="13"/>
        <v>0.30185599161157894</v>
      </c>
      <c r="H40" s="211">
        <f t="shared" si="13"/>
        <v>0.34808003480621996</v>
      </c>
      <c r="I40" s="211">
        <f t="shared" si="13"/>
        <v>0.34591192001565685</v>
      </c>
      <c r="J40" s="211">
        <f t="shared" si="13"/>
        <v>0.36923868160607698</v>
      </c>
      <c r="K40" s="211">
        <f t="shared" si="13"/>
        <v>0.36881826744846197</v>
      </c>
      <c r="L40" s="66"/>
      <c r="M40" s="171"/>
      <c r="N40" s="171"/>
      <c r="O40" s="171"/>
      <c r="P40" s="171"/>
      <c r="Q40" s="171"/>
      <c r="R40" s="211">
        <f>R8+R38</f>
        <v>0.35031344674010811</v>
      </c>
      <c r="S40" s="211">
        <f>S8+S38</f>
        <v>0.35463376429377691</v>
      </c>
      <c r="T40" s="211">
        <f>T8+T38</f>
        <v>0.37534935995738156</v>
      </c>
      <c r="U40" s="211">
        <f>U8+U38</f>
        <v>0.4175087417791869</v>
      </c>
      <c r="V40" s="66"/>
      <c r="W40" s="66"/>
      <c r="X40" s="66"/>
      <c r="Y40" s="66"/>
      <c r="Z40" s="66"/>
      <c r="AA40" s="66"/>
      <c r="AB40" s="66"/>
      <c r="AC40" s="66"/>
      <c r="AD40" s="66"/>
      <c r="AE40" s="66"/>
      <c r="AF40" s="66"/>
      <c r="AG40" s="66"/>
    </row>
    <row r="41" spans="2:33" x14ac:dyDescent="0.55000000000000004">
      <c r="B41" s="66"/>
      <c r="C41" s="66"/>
      <c r="D41" s="66"/>
      <c r="E41" s="66"/>
      <c r="F41" s="66"/>
      <c r="G41" s="66"/>
      <c r="H41" s="66"/>
      <c r="I41" s="66"/>
      <c r="J41" s="66"/>
      <c r="K41" s="66"/>
      <c r="L41" s="66"/>
      <c r="M41" s="66"/>
      <c r="N41" s="66"/>
      <c r="O41" s="66"/>
      <c r="P41" s="66"/>
      <c r="Q41" s="66"/>
      <c r="R41" s="66"/>
      <c r="S41" s="66"/>
      <c r="T41" s="66"/>
      <c r="U41" s="66"/>
      <c r="V41" s="66"/>
      <c r="W41" s="66"/>
      <c r="X41" s="66"/>
      <c r="Y41" s="66"/>
      <c r="Z41" s="66"/>
      <c r="AA41" s="66"/>
      <c r="AB41" s="66"/>
      <c r="AC41" s="66"/>
      <c r="AD41" s="66"/>
      <c r="AE41" s="66"/>
      <c r="AF41" s="66"/>
      <c r="AG41" s="66"/>
    </row>
    <row r="42" spans="2:33" x14ac:dyDescent="0.55000000000000004">
      <c r="B42" s="66" t="s">
        <v>661</v>
      </c>
      <c r="C42" s="69">
        <f>Master!H113</f>
        <v>9.7720000000000002</v>
      </c>
      <c r="D42" s="69">
        <f>Interims!P107</f>
        <v>472.005</v>
      </c>
      <c r="E42" s="69">
        <f>Interims!Q107</f>
        <v>195.268</v>
      </c>
      <c r="F42" s="69">
        <f>Interims!R107</f>
        <v>254</v>
      </c>
      <c r="G42" s="69">
        <f>Interims!S107</f>
        <v>479.93744981266161</v>
      </c>
      <c r="H42" s="69">
        <f>Master!I113</f>
        <v>1401.2104498126616</v>
      </c>
      <c r="I42" s="69">
        <f>Master!J113</f>
        <v>1699.6484157822949</v>
      </c>
      <c r="J42" s="69">
        <f>Master!K113</f>
        <v>2313.8021961093659</v>
      </c>
      <c r="K42" s="69">
        <f>Master!L113</f>
        <v>2629.6522948915017</v>
      </c>
      <c r="L42" s="66"/>
      <c r="M42" s="193">
        <f>_xll.VAData("SQ_US",M$2,"Net income loss attributable to common stockholders","consensus.vaactuals","CD")</f>
        <v>9.7720000000000002</v>
      </c>
      <c r="N42" s="193">
        <f>_xll.VAData("SQ_US",N$2,"Net income loss attributable to common stockholders","consensus.vaactuals","CD")</f>
        <v>472.005</v>
      </c>
      <c r="O42" s="193">
        <f>_xll.VAData("SQ_US",O$2,"Net income loss attributable to common stockholders","consensus.vaactuals","CD")</f>
        <v>195.268</v>
      </c>
      <c r="P42" s="193">
        <f>_xll.VAData("SQ_US",P$2,"Net income loss attributable to common stockholders","consensus.vaactuals","CD")</f>
        <v>228.10200489099404</v>
      </c>
      <c r="Q42" s="193">
        <f>_xll.VAData("SQ_US",Q$2,"Net income loss attributable to common stockholders","consensus.vaactuals","CD")</f>
        <v>276.38256869597654</v>
      </c>
      <c r="R42" s="193">
        <f>_xll.VAData("SQ_US",R$2,"Net income loss attributable to common stockholders","consensus.vaactuals","CD")</f>
        <v>1170.3540638165637</v>
      </c>
      <c r="S42" s="193">
        <f>_xll.VAData("SQ_US",S$2,"Net income loss attributable to common stockholders","consensus.vaactuals","CD")</f>
        <v>1615.8710939081568</v>
      </c>
      <c r="T42" s="193">
        <f>_xll.VAData("SQ_US",T$2,"Net income loss attributable to common stockholders","consensus.vaactuals","CD")</f>
        <v>2310.3443961480011</v>
      </c>
      <c r="U42" s="193">
        <f>_xll.VAData("SQ_US",U$2,"Net income loss attributable to common stockholders","consensus.vaactuals","CD")</f>
        <v>3175.2662858237823</v>
      </c>
      <c r="V42" s="66"/>
      <c r="W42" s="66"/>
      <c r="X42" s="66"/>
      <c r="Y42" s="66"/>
      <c r="Z42" s="66"/>
      <c r="AA42" s="66"/>
      <c r="AB42" s="66"/>
      <c r="AC42" s="66"/>
      <c r="AD42" s="66"/>
      <c r="AE42" s="66"/>
      <c r="AF42" s="66"/>
      <c r="AG42" s="66"/>
    </row>
    <row r="43" spans="2:33" x14ac:dyDescent="0.55000000000000004">
      <c r="B43" s="66" t="s">
        <v>679</v>
      </c>
      <c r="C43" s="84">
        <f>Master!H117</f>
        <v>1.6049772031482001E-2</v>
      </c>
      <c r="D43" s="84">
        <f>Interims!P110</f>
        <v>0.77</v>
      </c>
      <c r="E43" s="84">
        <f>Interims!Q110</f>
        <v>0.32</v>
      </c>
      <c r="F43" s="84">
        <f>Interims!R110</f>
        <v>0.40989823550106019</v>
      </c>
      <c r="G43" s="84">
        <f>Interims!S110</f>
        <v>0.76611441541262615</v>
      </c>
      <c r="H43" s="84">
        <f>Master!I117</f>
        <v>2.2660126509136864</v>
      </c>
      <c r="I43" s="84">
        <f>Master!J117</f>
        <v>2.6295713388327933</v>
      </c>
      <c r="J43" s="84">
        <f>Master!K117</f>
        <v>3.4311108483077142</v>
      </c>
      <c r="K43" s="84">
        <f>Master!L117</f>
        <v>3.7440260933204459</v>
      </c>
      <c r="L43" s="66"/>
      <c r="M43" s="66"/>
      <c r="N43" s="66"/>
      <c r="O43" s="66"/>
      <c r="P43" s="66"/>
      <c r="Q43" s="66"/>
      <c r="R43" s="66"/>
      <c r="S43" s="66"/>
      <c r="T43" s="66"/>
      <c r="U43" s="66"/>
      <c r="V43" s="66"/>
      <c r="W43" s="66"/>
      <c r="X43" s="66"/>
      <c r="Y43" s="66"/>
      <c r="Z43" s="66"/>
      <c r="AA43" s="66"/>
      <c r="AB43" s="66"/>
      <c r="AC43" s="66"/>
      <c r="AD43" s="66"/>
      <c r="AE43" s="66"/>
      <c r="AF43" s="66"/>
      <c r="AG43" s="66"/>
    </row>
    <row r="44" spans="2:33" x14ac:dyDescent="0.55000000000000004">
      <c r="B44" s="66" t="s">
        <v>680</v>
      </c>
      <c r="C44" s="84">
        <f>Master!H118</f>
        <v>0.02</v>
      </c>
      <c r="D44" s="84">
        <f>Interims!P111</f>
        <v>0.74</v>
      </c>
      <c r="E44" s="84">
        <f>Interims!Q111</f>
        <v>0.31</v>
      </c>
      <c r="F44" s="84">
        <f>Interims!R111</f>
        <v>0.39802990865683707</v>
      </c>
      <c r="G44" s="84">
        <f>Interims!S111</f>
        <v>0.76795321667948246</v>
      </c>
      <c r="H44" s="84">
        <f>Master!I118</f>
        <v>2.2159831253363196</v>
      </c>
      <c r="I44" s="84">
        <f>Master!J118</f>
        <v>2.6964849850588508</v>
      </c>
      <c r="J44" s="84">
        <f>Master!K118</f>
        <v>3.7420788525510509</v>
      </c>
      <c r="K44" s="84">
        <f>Master!L118</f>
        <v>4.3731329323679597</v>
      </c>
      <c r="L44" s="66"/>
      <c r="M44" s="66"/>
      <c r="N44" s="66"/>
      <c r="O44" s="66"/>
      <c r="P44" s="66"/>
      <c r="Q44" s="66"/>
      <c r="R44" s="66"/>
      <c r="S44" s="66"/>
      <c r="T44" s="66"/>
      <c r="U44" s="66"/>
      <c r="V44" s="66"/>
      <c r="W44" s="66"/>
      <c r="X44" s="66"/>
      <c r="Y44" s="66"/>
      <c r="Z44" s="66"/>
      <c r="AA44" s="66"/>
      <c r="AB44" s="66"/>
      <c r="AC44" s="66"/>
      <c r="AD44" s="66"/>
      <c r="AE44" s="66"/>
      <c r="AF44" s="66"/>
      <c r="AG44" s="66"/>
    </row>
    <row r="45" spans="2:33" x14ac:dyDescent="0.55000000000000004">
      <c r="B45" s="66"/>
      <c r="C45" s="66"/>
      <c r="D45" s="66"/>
      <c r="E45" s="66"/>
      <c r="F45" s="66"/>
      <c r="G45" s="66"/>
      <c r="H45" s="66"/>
      <c r="I45" s="66"/>
      <c r="J45" s="66"/>
      <c r="K45" s="66"/>
      <c r="L45" s="66"/>
      <c r="M45" s="66"/>
      <c r="N45" s="66"/>
      <c r="O45" s="66"/>
      <c r="P45" s="66"/>
      <c r="Q45" s="66"/>
      <c r="R45" s="66"/>
      <c r="S45" s="66"/>
      <c r="T45" s="66"/>
      <c r="U45" s="66"/>
      <c r="V45" s="66"/>
      <c r="W45" s="66"/>
      <c r="X45" s="66"/>
      <c r="Y45" s="66"/>
      <c r="Z45" s="66"/>
      <c r="AA45" s="66"/>
      <c r="AB45" s="66"/>
      <c r="AC45" s="66"/>
      <c r="AD45" s="66"/>
      <c r="AE45" s="66"/>
      <c r="AF45" s="66"/>
      <c r="AG45" s="66"/>
    </row>
    <row r="46" spans="2:33" x14ac:dyDescent="0.55000000000000004">
      <c r="B46" s="66" t="s">
        <v>703</v>
      </c>
      <c r="C46" s="69">
        <f>Master!H127</f>
        <v>1130.642274</v>
      </c>
      <c r="D46" s="69">
        <f>Interims!P120</f>
        <v>542.26199999999994</v>
      </c>
      <c r="E46" s="69">
        <f>Interims!Q120</f>
        <v>588.721</v>
      </c>
      <c r="F46" s="69">
        <f>Interims!R120</f>
        <v>531.91999999999996</v>
      </c>
      <c r="G46" s="69">
        <f>Interims!S120</f>
        <v>678.72807311876022</v>
      </c>
      <c r="H46" s="69">
        <f>Master!I127</f>
        <v>2341.6310731187605</v>
      </c>
      <c r="I46" s="69">
        <f>Master!J127</f>
        <v>2762.1279680363505</v>
      </c>
      <c r="J46" s="69">
        <f>Master!K127</f>
        <v>3407.890685618423</v>
      </c>
      <c r="K46" s="69">
        <f>Master!L127</f>
        <v>3756.392292509368</v>
      </c>
      <c r="L46" s="66"/>
      <c r="M46" s="193">
        <f>_xll.VAData("SQ_US",M$2,"Net income/(loss) - Operating","consensus.vaactuals","CD")</f>
        <v>1130.642274</v>
      </c>
      <c r="N46" s="193">
        <f>_xll.VAData("SQ_US",N$2,"Net income/(loss) - Operating","consensus.vaactuals","CD")</f>
        <v>542.93499999999995</v>
      </c>
      <c r="O46" s="193">
        <f>_xll.VAData("SQ_US",O$2,"Net income/(loss) - Operating","consensus.vaactuals","CD")</f>
        <v>589.39499999999998</v>
      </c>
      <c r="P46" s="193">
        <f>_xll.VAData("SQ_US",P$2,"Net income/(loss) - Operating","consensus.vaactuals","CD")</f>
        <v>553.4887488803397</v>
      </c>
      <c r="Q46" s="193">
        <f>_xll.VAData("SQ_US",Q$2,"Net income/(loss) - Operating","consensus.vaactuals","CD")</f>
        <v>583.05375076650057</v>
      </c>
      <c r="R46" s="193">
        <f>_xll.VAData("SQ_US",R$2,"Net income/(loss) - Operating","consensus.vaactuals","CD")</f>
        <v>2256.6339529041388</v>
      </c>
      <c r="S46" s="193">
        <f>_xll.VAData("SQ_US",S$2,"Net income/(loss) - Operating","consensus.vaactuals","CD")</f>
        <v>2933.2970835224755</v>
      </c>
      <c r="T46" s="193">
        <f>_xll.VAData("SQ_US",T$2,"Net income/(loss) - Operating","consensus.vaactuals","CD")</f>
        <v>3647.5405671118206</v>
      </c>
      <c r="U46" s="193">
        <f>_xll.VAData("SQ_US",U$2,"Net income/(loss) - Operating","consensus.vaactuals","CD")</f>
        <v>4489.3131145740699</v>
      </c>
      <c r="V46" s="66"/>
      <c r="W46" s="66"/>
      <c r="X46" s="66"/>
      <c r="Y46" s="66"/>
      <c r="Z46" s="66"/>
      <c r="AA46" s="66"/>
      <c r="AB46" s="66"/>
      <c r="AC46" s="66"/>
      <c r="AD46" s="66"/>
      <c r="AE46" s="66"/>
      <c r="AF46" s="66"/>
      <c r="AG46" s="66"/>
    </row>
    <row r="47" spans="2:33" x14ac:dyDescent="0.55000000000000004">
      <c r="B47" s="66" t="s">
        <v>704</v>
      </c>
      <c r="C47" s="69">
        <f>C46-C42</f>
        <v>1120.8702740000001</v>
      </c>
      <c r="D47" s="69">
        <f t="shared" ref="D47:K47" si="14">D46-D42</f>
        <v>70.256999999999948</v>
      </c>
      <c r="E47" s="69">
        <f t="shared" si="14"/>
        <v>393.45299999999997</v>
      </c>
      <c r="F47" s="69">
        <f t="shared" si="14"/>
        <v>277.91999999999996</v>
      </c>
      <c r="G47" s="69">
        <f t="shared" si="14"/>
        <v>198.79062330609861</v>
      </c>
      <c r="H47" s="69">
        <f t="shared" si="14"/>
        <v>940.42062330609883</v>
      </c>
      <c r="I47" s="69">
        <f t="shared" si="14"/>
        <v>1062.4795522540555</v>
      </c>
      <c r="J47" s="69">
        <f t="shared" si="14"/>
        <v>1094.0884895090571</v>
      </c>
      <c r="K47" s="69">
        <f t="shared" si="14"/>
        <v>1126.7399976178663</v>
      </c>
      <c r="L47" s="66"/>
      <c r="M47" s="69">
        <f t="shared" ref="M47:U47" si="15">M46-M42</f>
        <v>1120.8702740000001</v>
      </c>
      <c r="N47" s="69">
        <f t="shared" si="15"/>
        <v>70.92999999999995</v>
      </c>
      <c r="O47" s="69">
        <f t="shared" si="15"/>
        <v>394.12699999999995</v>
      </c>
      <c r="P47" s="69">
        <f t="shared" si="15"/>
        <v>325.38674398934563</v>
      </c>
      <c r="Q47" s="69">
        <f t="shared" si="15"/>
        <v>306.67118207052403</v>
      </c>
      <c r="R47" s="69">
        <f t="shared" si="15"/>
        <v>1086.2798890875752</v>
      </c>
      <c r="S47" s="69">
        <f t="shared" si="15"/>
        <v>1317.4259896143187</v>
      </c>
      <c r="T47" s="69">
        <f t="shared" si="15"/>
        <v>1337.1961709638194</v>
      </c>
      <c r="U47" s="69">
        <f t="shared" si="15"/>
        <v>1314.0468287502877</v>
      </c>
      <c r="V47" s="66"/>
      <c r="W47" s="66"/>
      <c r="X47" s="66"/>
      <c r="Y47" s="66"/>
      <c r="Z47" s="66"/>
      <c r="AA47" s="66"/>
      <c r="AB47" s="66"/>
      <c r="AC47" s="66"/>
      <c r="AD47" s="66"/>
      <c r="AE47" s="66"/>
      <c r="AF47" s="66"/>
      <c r="AG47" s="66"/>
    </row>
    <row r="48" spans="2:33" x14ac:dyDescent="0.55000000000000004">
      <c r="B48" s="66"/>
      <c r="C48" s="66"/>
      <c r="D48" s="66"/>
      <c r="E48" s="66"/>
      <c r="F48" s="66"/>
      <c r="G48" s="66"/>
      <c r="H48" s="66"/>
      <c r="I48" s="66"/>
      <c r="J48" s="66"/>
      <c r="K48" s="66"/>
      <c r="L48" s="66"/>
      <c r="M48" s="66"/>
      <c r="N48" s="66"/>
      <c r="O48" s="66"/>
      <c r="P48" s="66"/>
      <c r="Q48" s="66"/>
      <c r="R48" s="66"/>
      <c r="S48" s="66"/>
      <c r="T48" s="66"/>
      <c r="U48" s="66"/>
      <c r="V48" s="66"/>
      <c r="W48" s="66"/>
      <c r="X48" s="66"/>
      <c r="Y48" s="66"/>
      <c r="Z48" s="66"/>
      <c r="AA48" s="66"/>
      <c r="AB48" s="66"/>
      <c r="AC48" s="66"/>
      <c r="AD48" s="66"/>
      <c r="AE48" s="66"/>
      <c r="AF48" s="66"/>
      <c r="AG48" s="66"/>
    </row>
    <row r="49" spans="2:33" x14ac:dyDescent="0.55000000000000004">
      <c r="B49" s="66"/>
      <c r="C49" s="66"/>
      <c r="D49" s="66"/>
      <c r="E49" s="66"/>
      <c r="F49" s="66"/>
      <c r="G49" s="66"/>
      <c r="H49" s="66"/>
      <c r="I49" s="66"/>
      <c r="J49" s="66"/>
      <c r="K49" s="66"/>
      <c r="L49" s="66"/>
      <c r="M49" s="66"/>
      <c r="N49" s="66"/>
      <c r="O49" s="66"/>
      <c r="P49" s="66"/>
      <c r="Q49" s="66"/>
      <c r="R49" s="66"/>
      <c r="S49" s="66"/>
      <c r="T49" s="66"/>
      <c r="U49" s="66"/>
      <c r="V49" s="66"/>
      <c r="W49" s="66"/>
      <c r="X49" s="66"/>
      <c r="Y49" s="66"/>
      <c r="Z49" s="66"/>
      <c r="AA49" s="66"/>
      <c r="AB49" s="66"/>
      <c r="AC49" s="66"/>
      <c r="AD49" s="66"/>
      <c r="AE49" s="66"/>
      <c r="AF49" s="66"/>
      <c r="AG49" s="66"/>
    </row>
    <row r="50" spans="2:33" x14ac:dyDescent="0.55000000000000004">
      <c r="B50" s="66"/>
      <c r="C50" s="120" t="s">
        <v>596</v>
      </c>
      <c r="D50" s="120" t="s">
        <v>596</v>
      </c>
      <c r="E50" s="120" t="s">
        <v>596</v>
      </c>
      <c r="F50" s="120" t="s">
        <v>596</v>
      </c>
      <c r="G50" s="120" t="s">
        <v>596</v>
      </c>
      <c r="H50" s="120" t="s">
        <v>596</v>
      </c>
      <c r="I50" s="120" t="s">
        <v>596</v>
      </c>
      <c r="J50" s="120" t="s">
        <v>596</v>
      </c>
      <c r="K50" s="120" t="s">
        <v>596</v>
      </c>
      <c r="L50" s="66"/>
      <c r="M50" s="66"/>
      <c r="N50" s="66"/>
      <c r="O50" s="66"/>
      <c r="P50" s="66"/>
      <c r="Q50" s="66"/>
      <c r="R50" s="66"/>
      <c r="S50" s="66"/>
      <c r="T50" s="66"/>
      <c r="U50" s="66"/>
      <c r="V50" s="66"/>
      <c r="W50" s="66"/>
      <c r="X50" s="66"/>
      <c r="Y50" s="66"/>
      <c r="Z50" s="66"/>
      <c r="AA50" s="66"/>
      <c r="AB50" s="66"/>
      <c r="AC50" s="66"/>
      <c r="AD50" s="66"/>
      <c r="AE50" s="66"/>
      <c r="AF50" s="66"/>
      <c r="AG50" s="66"/>
    </row>
    <row r="51" spans="2:33" x14ac:dyDescent="0.55000000000000004">
      <c r="B51" s="68"/>
      <c r="C51" s="68">
        <v>2023</v>
      </c>
      <c r="D51" s="198" t="s">
        <v>144</v>
      </c>
      <c r="E51" s="198" t="s">
        <v>145</v>
      </c>
      <c r="F51" s="198" t="s">
        <v>146</v>
      </c>
      <c r="G51" s="198" t="s">
        <v>147</v>
      </c>
      <c r="H51" s="68">
        <v>2024</v>
      </c>
      <c r="I51" s="68">
        <f>H51+1</f>
        <v>2025</v>
      </c>
      <c r="J51" s="68">
        <f>I51+1</f>
        <v>2026</v>
      </c>
      <c r="K51" s="68">
        <f>J51+1</f>
        <v>2027</v>
      </c>
      <c r="L51" s="66"/>
      <c r="M51" s="66"/>
      <c r="N51" s="66"/>
      <c r="O51" s="66"/>
      <c r="P51" s="66"/>
      <c r="Q51" s="66"/>
      <c r="R51" s="66"/>
      <c r="S51" s="66"/>
      <c r="T51" s="66"/>
      <c r="U51" s="66"/>
      <c r="V51" s="66"/>
      <c r="W51" s="66"/>
      <c r="X51" s="66"/>
      <c r="Y51" s="66"/>
      <c r="Z51" s="66"/>
      <c r="AA51" s="66"/>
      <c r="AB51" s="66"/>
      <c r="AC51" s="66"/>
      <c r="AD51" s="66"/>
      <c r="AE51" s="66"/>
      <c r="AF51" s="66"/>
      <c r="AG51" s="66"/>
    </row>
    <row r="52" spans="2:33" x14ac:dyDescent="0.55000000000000004">
      <c r="B52" s="67" t="s">
        <v>184</v>
      </c>
      <c r="C52" s="67"/>
      <c r="D52" s="194"/>
      <c r="E52" s="194"/>
      <c r="F52" s="194"/>
      <c r="G52" s="194"/>
      <c r="H52" s="67"/>
      <c r="I52" s="67"/>
      <c r="J52" s="67"/>
      <c r="K52" s="67"/>
      <c r="L52" s="66"/>
      <c r="M52" s="66"/>
      <c r="N52" s="66"/>
      <c r="O52" s="66"/>
      <c r="P52" s="66"/>
      <c r="Q52" s="66"/>
      <c r="R52" s="66"/>
      <c r="S52" s="66"/>
      <c r="T52" s="66"/>
      <c r="U52" s="66"/>
      <c r="V52" s="66"/>
      <c r="W52" s="66"/>
      <c r="X52" s="66"/>
      <c r="Y52" s="66"/>
      <c r="Z52" s="66"/>
      <c r="AA52" s="66"/>
      <c r="AB52" s="66"/>
      <c r="AC52" s="66"/>
      <c r="AD52" s="66"/>
      <c r="AE52" s="66"/>
      <c r="AF52" s="66"/>
      <c r="AG52" s="66"/>
    </row>
    <row r="53" spans="2:33" x14ac:dyDescent="0.55000000000000004">
      <c r="B53" s="66" t="s">
        <v>90</v>
      </c>
      <c r="C53" s="171">
        <f t="shared" ref="C53:K53" si="16">C5/M5-1</f>
        <v>0</v>
      </c>
      <c r="D53" s="171">
        <f t="shared" si="16"/>
        <v>0</v>
      </c>
      <c r="E53" s="171">
        <f t="shared" si="16"/>
        <v>0</v>
      </c>
      <c r="F53" s="171">
        <f t="shared" si="16"/>
        <v>-9.4206175511573065E-3</v>
      </c>
      <c r="G53" s="171">
        <f t="shared" si="16"/>
        <v>2.3564677140817558E-2</v>
      </c>
      <c r="H53" s="171">
        <f t="shared" si="16"/>
        <v>2.9599757934517523E-3</v>
      </c>
      <c r="I53" s="171">
        <f t="shared" si="16"/>
        <v>-1.732690432360906E-3</v>
      </c>
      <c r="J53" s="171">
        <f t="shared" si="16"/>
        <v>-4.9365262937389742E-3</v>
      </c>
      <c r="K53" s="171">
        <f t="shared" si="16"/>
        <v>-1.6300016063735767E-2</v>
      </c>
      <c r="L53" s="66"/>
      <c r="M53" s="66"/>
      <c r="N53" s="66"/>
      <c r="O53" s="66"/>
      <c r="P53" s="66"/>
      <c r="Q53" s="66"/>
      <c r="R53" s="66"/>
      <c r="S53" s="66"/>
      <c r="T53" s="66"/>
      <c r="U53" s="66"/>
      <c r="V53" s="66"/>
      <c r="W53" s="66"/>
      <c r="X53" s="66"/>
      <c r="Y53" s="66"/>
      <c r="Z53" s="66"/>
      <c r="AA53" s="66"/>
      <c r="AB53" s="66"/>
      <c r="AC53" s="66"/>
      <c r="AD53" s="66"/>
      <c r="AE53" s="66"/>
      <c r="AF53" s="66"/>
      <c r="AG53" s="66"/>
    </row>
    <row r="54" spans="2:33" x14ac:dyDescent="0.55000000000000004">
      <c r="B54" s="66" t="s">
        <v>179</v>
      </c>
      <c r="C54" s="171">
        <f t="shared" ref="C54:K54" si="17">C7/M7-1</f>
        <v>0</v>
      </c>
      <c r="D54" s="171">
        <f t="shared" si="17"/>
        <v>0</v>
      </c>
      <c r="E54" s="171">
        <f t="shared" si="17"/>
        <v>0</v>
      </c>
      <c r="F54" s="171">
        <f t="shared" si="17"/>
        <v>1.993504587540329E-3</v>
      </c>
      <c r="G54" s="171">
        <f t="shared" si="17"/>
        <v>-1.0040552763158628E-2</v>
      </c>
      <c r="H54" s="171">
        <f t="shared" si="17"/>
        <v>-2.0564790137105327E-3</v>
      </c>
      <c r="I54" s="171">
        <f t="shared" si="17"/>
        <v>-9.2512756675718899E-3</v>
      </c>
      <c r="J54" s="171">
        <f t="shared" si="17"/>
        <v>-1.1262857649694369E-2</v>
      </c>
      <c r="K54" s="171">
        <f t="shared" si="17"/>
        <v>-3.1719271224175727E-2</v>
      </c>
      <c r="L54" s="66"/>
      <c r="M54" s="66"/>
      <c r="N54" s="66"/>
      <c r="O54" s="66"/>
      <c r="P54" s="66"/>
      <c r="Q54" s="66"/>
      <c r="R54" s="66"/>
      <c r="S54" s="66"/>
      <c r="T54" s="66"/>
      <c r="U54" s="66"/>
      <c r="V54" s="66"/>
      <c r="W54" s="66"/>
      <c r="X54" s="66"/>
      <c r="Y54" s="66"/>
      <c r="Z54" s="66"/>
      <c r="AA54" s="66"/>
      <c r="AB54" s="66"/>
      <c r="AC54" s="66"/>
      <c r="AD54" s="66"/>
      <c r="AE54" s="66"/>
      <c r="AF54" s="66"/>
      <c r="AG54" s="66"/>
    </row>
    <row r="55" spans="2:33" x14ac:dyDescent="0.55000000000000004">
      <c r="B55" s="66" t="s">
        <v>354</v>
      </c>
      <c r="C55" s="171">
        <f t="shared" ref="C55:K55" si="18">C35/M35-1</f>
        <v>0</v>
      </c>
      <c r="D55" s="171">
        <f t="shared" si="18"/>
        <v>0</v>
      </c>
      <c r="E55" s="171">
        <f t="shared" si="18"/>
        <v>0</v>
      </c>
      <c r="F55" s="171">
        <f t="shared" si="18"/>
        <v>-8.6940445683860612E-2</v>
      </c>
      <c r="G55" s="171">
        <f t="shared" si="18"/>
        <v>-0.20687789698636017</v>
      </c>
      <c r="H55" s="171">
        <f t="shared" si="18"/>
        <v>-7.2766054411403047E-2</v>
      </c>
      <c r="I55" s="171">
        <f t="shared" si="18"/>
        <v>-6.19155193607831E-2</v>
      </c>
      <c r="J55" s="171">
        <f t="shared" si="18"/>
        <v>-7.4405828153348064E-2</v>
      </c>
      <c r="K55" s="171">
        <f t="shared" si="18"/>
        <v>-0.1776337011171818</v>
      </c>
      <c r="L55" s="66"/>
      <c r="M55" s="66"/>
      <c r="N55" s="66"/>
      <c r="O55" s="66"/>
      <c r="P55" s="66"/>
      <c r="Q55" s="66"/>
      <c r="R55" s="66"/>
      <c r="S55" s="66"/>
      <c r="T55" s="66"/>
      <c r="U55" s="66"/>
      <c r="V55" s="66"/>
      <c r="W55" s="66"/>
      <c r="X55" s="66"/>
      <c r="Y55" s="66"/>
      <c r="Z55" s="66"/>
      <c r="AA55" s="66"/>
      <c r="AB55" s="66"/>
      <c r="AC55" s="66"/>
      <c r="AD55" s="66"/>
      <c r="AE55" s="66"/>
      <c r="AF55" s="66"/>
      <c r="AG55" s="66"/>
    </row>
    <row r="56" spans="2:33" x14ac:dyDescent="0.55000000000000004">
      <c r="B56" s="66"/>
      <c r="C56" s="66"/>
      <c r="D56" s="187"/>
      <c r="E56" s="187"/>
      <c r="F56" s="187"/>
      <c r="G56" s="187"/>
      <c r="H56" s="66"/>
      <c r="I56" s="66"/>
      <c r="J56" s="66"/>
      <c r="K56" s="66"/>
      <c r="L56" s="66"/>
      <c r="M56" s="66"/>
      <c r="N56" s="66"/>
      <c r="O56" s="66"/>
      <c r="P56" s="66"/>
      <c r="Q56" s="66"/>
      <c r="R56" s="66"/>
      <c r="S56" s="66"/>
      <c r="T56" s="66"/>
      <c r="U56" s="66"/>
      <c r="V56" s="66"/>
      <c r="W56" s="66"/>
      <c r="X56" s="66"/>
      <c r="Y56" s="66"/>
      <c r="Z56" s="66"/>
      <c r="AA56" s="66"/>
      <c r="AB56" s="66"/>
      <c r="AC56" s="66"/>
      <c r="AD56" s="66"/>
      <c r="AE56" s="66"/>
      <c r="AF56" s="66"/>
      <c r="AG56" s="66"/>
    </row>
    <row r="57" spans="2:33" x14ac:dyDescent="0.55000000000000004">
      <c r="B57" s="67" t="s">
        <v>162</v>
      </c>
      <c r="C57" s="67"/>
      <c r="D57" s="194"/>
      <c r="E57" s="194"/>
      <c r="F57" s="194"/>
      <c r="G57" s="194"/>
      <c r="H57" s="67"/>
      <c r="I57" s="67"/>
      <c r="J57" s="67"/>
      <c r="K57" s="67"/>
      <c r="L57" s="66"/>
      <c r="M57" s="66"/>
      <c r="N57" s="66"/>
      <c r="O57" s="66"/>
      <c r="P57" s="66"/>
      <c r="Q57" s="66"/>
      <c r="R57" s="66"/>
      <c r="S57" s="66"/>
      <c r="T57" s="66"/>
      <c r="U57" s="66"/>
      <c r="V57" s="66"/>
      <c r="W57" s="66"/>
      <c r="X57" s="66"/>
      <c r="Y57" s="66"/>
      <c r="Z57" s="66"/>
      <c r="AA57" s="66"/>
      <c r="AB57" s="66"/>
      <c r="AC57" s="66"/>
      <c r="AD57" s="66"/>
      <c r="AE57" s="66"/>
      <c r="AF57" s="66"/>
      <c r="AG57" s="66"/>
    </row>
    <row r="58" spans="2:33" x14ac:dyDescent="0.55000000000000004">
      <c r="B58" s="66" t="str">
        <f>B53</f>
        <v>Revenue</v>
      </c>
      <c r="C58" s="171">
        <f t="shared" ref="C58:K58" si="19">C12/M12-1</f>
        <v>1.4217909072300472E-7</v>
      </c>
      <c r="D58" s="171">
        <f t="shared" si="19"/>
        <v>0</v>
      </c>
      <c r="E58" s="171">
        <f t="shared" si="19"/>
        <v>0</v>
      </c>
      <c r="F58" s="171">
        <f t="shared" si="19"/>
        <v>1.4107565858254345E-2</v>
      </c>
      <c r="G58" s="171">
        <f t="shared" si="19"/>
        <v>3.1598188750903367E-2</v>
      </c>
      <c r="H58" s="171">
        <f t="shared" si="19"/>
        <v>-3.6968407017639593E-2</v>
      </c>
      <c r="I58" s="171">
        <f t="shared" si="19"/>
        <v>-4.276364772839647E-2</v>
      </c>
      <c r="J58" s="171">
        <f t="shared" si="19"/>
        <v>2.1425044807727556E-2</v>
      </c>
      <c r="K58" s="171">
        <f t="shared" si="19"/>
        <v>-1.5548345360291371E-2</v>
      </c>
      <c r="L58" s="66"/>
      <c r="M58" s="66"/>
      <c r="N58" s="66"/>
      <c r="O58" s="66"/>
      <c r="P58" s="66"/>
      <c r="Q58" s="66"/>
      <c r="R58" s="66"/>
      <c r="S58" s="66"/>
      <c r="T58" s="66"/>
      <c r="U58" s="66"/>
      <c r="V58" s="66"/>
      <c r="W58" s="66"/>
      <c r="X58" s="66"/>
      <c r="Y58" s="66"/>
      <c r="Z58" s="66"/>
      <c r="AA58" s="66"/>
      <c r="AB58" s="66"/>
      <c r="AC58" s="66"/>
      <c r="AD58" s="66"/>
      <c r="AE58" s="66"/>
      <c r="AF58" s="66"/>
      <c r="AG58" s="66"/>
    </row>
    <row r="59" spans="2:33" x14ac:dyDescent="0.55000000000000004">
      <c r="B59" s="66" t="str">
        <f>B54</f>
        <v>Gross Profit</v>
      </c>
      <c r="C59" s="171">
        <f t="shared" ref="C59:K59" si="20">C14/M14-1</f>
        <v>1.7579475610762785E-6</v>
      </c>
      <c r="D59" s="171">
        <f t="shared" si="20"/>
        <v>0</v>
      </c>
      <c r="E59" s="171">
        <f t="shared" si="20"/>
        <v>0</v>
      </c>
      <c r="F59" s="171">
        <f t="shared" si="20"/>
        <v>-4.8274546549600394E-3</v>
      </c>
      <c r="G59" s="171">
        <f t="shared" si="20"/>
        <v>4.2499711171581911E-3</v>
      </c>
      <c r="H59" s="171">
        <f t="shared" si="20"/>
        <v>3.3215121647119483E-2</v>
      </c>
      <c r="I59" s="171">
        <f t="shared" si="20"/>
        <v>4.379202580926389E-3</v>
      </c>
      <c r="J59" s="171">
        <f t="shared" si="20"/>
        <v>3.2922965723797715E-2</v>
      </c>
      <c r="K59" s="171">
        <f t="shared" si="20"/>
        <v>4.9654576328443722E-2</v>
      </c>
      <c r="L59" s="66"/>
      <c r="M59" s="66"/>
      <c r="N59" s="66"/>
      <c r="O59" s="66"/>
      <c r="P59" s="66"/>
      <c r="Q59" s="66"/>
      <c r="R59" s="66"/>
      <c r="S59" s="66"/>
      <c r="T59" s="66"/>
      <c r="U59" s="66"/>
      <c r="V59" s="66"/>
      <c r="W59" s="66"/>
      <c r="X59" s="66"/>
      <c r="Y59" s="66"/>
      <c r="Z59" s="66"/>
      <c r="AA59" s="66"/>
      <c r="AB59" s="66"/>
      <c r="AC59" s="66"/>
      <c r="AD59" s="66"/>
      <c r="AE59" s="66"/>
      <c r="AF59" s="66"/>
      <c r="AG59" s="66"/>
    </row>
    <row r="60" spans="2:33" x14ac:dyDescent="0.55000000000000004">
      <c r="B60" s="66"/>
      <c r="C60" s="66"/>
      <c r="D60" s="187"/>
      <c r="E60" s="187"/>
      <c r="F60" s="187"/>
      <c r="G60" s="187"/>
      <c r="H60" s="66"/>
      <c r="I60" s="66"/>
      <c r="J60" s="66"/>
      <c r="K60" s="66"/>
      <c r="L60" s="66"/>
      <c r="M60" s="66"/>
      <c r="N60" s="66"/>
      <c r="O60" s="66"/>
      <c r="P60" s="66"/>
      <c r="Q60" s="66"/>
      <c r="R60" s="66"/>
      <c r="S60" s="66"/>
      <c r="T60" s="66"/>
      <c r="U60" s="66"/>
      <c r="V60" s="66"/>
      <c r="W60" s="66"/>
      <c r="X60" s="66"/>
      <c r="Y60" s="66"/>
      <c r="Z60" s="66"/>
      <c r="AA60" s="66"/>
      <c r="AB60" s="66"/>
      <c r="AC60" s="66"/>
      <c r="AD60" s="66"/>
      <c r="AE60" s="66"/>
      <c r="AF60" s="66"/>
      <c r="AG60" s="66"/>
    </row>
    <row r="61" spans="2:33" x14ac:dyDescent="0.55000000000000004">
      <c r="B61" s="67" t="s">
        <v>163</v>
      </c>
      <c r="C61" s="67"/>
      <c r="D61" s="187"/>
      <c r="E61" s="187"/>
      <c r="F61" s="187"/>
      <c r="G61" s="187"/>
      <c r="H61" s="67"/>
      <c r="I61" s="67"/>
      <c r="J61" s="67"/>
      <c r="K61" s="67"/>
      <c r="L61" s="66"/>
      <c r="M61" s="66"/>
      <c r="N61" s="66"/>
      <c r="O61" s="66"/>
      <c r="P61" s="66"/>
      <c r="Q61" s="66"/>
      <c r="R61" s="66"/>
      <c r="S61" s="66"/>
      <c r="T61" s="66"/>
      <c r="U61" s="66"/>
      <c r="V61" s="66"/>
      <c r="W61" s="66"/>
      <c r="X61" s="66"/>
      <c r="Y61" s="66"/>
      <c r="Z61" s="66"/>
      <c r="AA61" s="66"/>
      <c r="AB61" s="66"/>
      <c r="AC61" s="66"/>
      <c r="AD61" s="66"/>
      <c r="AE61" s="66"/>
      <c r="AF61" s="66"/>
      <c r="AG61" s="66"/>
    </row>
    <row r="62" spans="2:33" x14ac:dyDescent="0.55000000000000004">
      <c r="B62" s="66" t="str">
        <f>B58</f>
        <v>Revenue</v>
      </c>
      <c r="C62" s="171">
        <f t="shared" ref="C62:K62" si="21">C24/M24-1</f>
        <v>-3.4056032993667884E-8</v>
      </c>
      <c r="D62" s="171">
        <f t="shared" si="21"/>
        <v>0</v>
      </c>
      <c r="E62" s="171">
        <f t="shared" si="21"/>
        <v>0</v>
      </c>
      <c r="F62" s="171">
        <f t="shared" si="21"/>
        <v>-8.4870019291414245E-3</v>
      </c>
      <c r="G62" s="171">
        <f t="shared" si="21"/>
        <v>6.7133202062381603E-3</v>
      </c>
      <c r="H62" s="171">
        <f t="shared" si="21"/>
        <v>-1.0809295343167102E-3</v>
      </c>
      <c r="I62" s="171">
        <f t="shared" si="21"/>
        <v>-2.5606274071844348E-3</v>
      </c>
      <c r="J62" s="171">
        <f t="shared" si="21"/>
        <v>-2.0118721346878199E-2</v>
      </c>
      <c r="K62" s="171">
        <f t="shared" si="21"/>
        <v>-4.1165193783673448E-2</v>
      </c>
      <c r="L62" s="66"/>
      <c r="M62" s="66"/>
      <c r="N62" s="66"/>
      <c r="O62" s="66"/>
      <c r="P62" s="66"/>
      <c r="Q62" s="66"/>
      <c r="R62" s="66"/>
      <c r="S62" s="66"/>
      <c r="T62" s="66"/>
      <c r="U62" s="66"/>
      <c r="V62" s="66"/>
      <c r="W62" s="66"/>
      <c r="X62" s="66"/>
      <c r="Y62" s="66"/>
      <c r="Z62" s="66"/>
      <c r="AA62" s="66"/>
      <c r="AB62" s="66"/>
      <c r="AC62" s="66"/>
      <c r="AD62" s="66"/>
      <c r="AE62" s="66"/>
      <c r="AF62" s="66"/>
      <c r="AG62" s="66"/>
    </row>
    <row r="63" spans="2:33" x14ac:dyDescent="0.55000000000000004">
      <c r="B63" s="66" t="str">
        <f>B59</f>
        <v>Gross Profit</v>
      </c>
      <c r="C63" s="171">
        <f t="shared" ref="C63:K63" si="22">C26/M26-1</f>
        <v>1.156480482489286E-7</v>
      </c>
      <c r="D63" s="171">
        <f t="shared" si="22"/>
        <v>0</v>
      </c>
      <c r="E63" s="171">
        <f t="shared" si="22"/>
        <v>0</v>
      </c>
      <c r="F63" s="171">
        <f t="shared" si="22"/>
        <v>6.7505802193104092E-3</v>
      </c>
      <c r="G63" s="171">
        <f t="shared" si="22"/>
        <v>-2.1892701306928664E-2</v>
      </c>
      <c r="H63" s="171">
        <f t="shared" si="22"/>
        <v>-3.0870777959246531E-3</v>
      </c>
      <c r="I63" s="171">
        <f t="shared" si="22"/>
        <v>-7.3827939535805465E-3</v>
      </c>
      <c r="J63" s="171">
        <f t="shared" si="22"/>
        <v>-1.0789224239066697E-2</v>
      </c>
      <c r="K63" s="171">
        <f t="shared" si="22"/>
        <v>-6.0167392035344602E-2</v>
      </c>
      <c r="L63" s="66"/>
      <c r="M63" s="66"/>
      <c r="N63" s="66"/>
      <c r="O63" s="66"/>
      <c r="P63" s="66"/>
      <c r="Q63" s="66"/>
      <c r="R63" s="66"/>
      <c r="S63" s="66"/>
      <c r="T63" s="66"/>
      <c r="U63" s="66"/>
      <c r="V63" s="66"/>
      <c r="W63" s="66"/>
      <c r="X63" s="66"/>
      <c r="Y63" s="66"/>
      <c r="Z63" s="66"/>
      <c r="AA63" s="66"/>
      <c r="AB63" s="66"/>
      <c r="AC63" s="66"/>
      <c r="AD63" s="66"/>
      <c r="AE63" s="66"/>
      <c r="AF63" s="66"/>
      <c r="AG63" s="66"/>
    </row>
    <row r="64" spans="2:33" x14ac:dyDescent="0.55000000000000004">
      <c r="B64" s="66"/>
      <c r="C64" s="66"/>
      <c r="D64" s="66"/>
      <c r="E64" s="66"/>
      <c r="F64" s="66"/>
      <c r="G64" s="66"/>
      <c r="H64" s="66"/>
      <c r="I64" s="66"/>
      <c r="J64" s="66"/>
      <c r="K64" s="66"/>
      <c r="L64" s="66"/>
      <c r="M64" s="66"/>
      <c r="N64" s="66"/>
      <c r="O64" s="66"/>
      <c r="P64" s="66"/>
      <c r="Q64" s="66"/>
      <c r="R64" s="66"/>
      <c r="S64" s="66"/>
      <c r="T64" s="66"/>
      <c r="U64" s="66"/>
      <c r="V64" s="66"/>
      <c r="W64" s="66"/>
      <c r="X64" s="66"/>
      <c r="Y64" s="66"/>
      <c r="Z64" s="66"/>
      <c r="AA64" s="66"/>
      <c r="AB64" s="66"/>
      <c r="AC64" s="66"/>
      <c r="AD64" s="66"/>
      <c r="AE64" s="66"/>
      <c r="AF64" s="66"/>
      <c r="AG64" s="66"/>
    </row>
    <row r="65" spans="2:33" x14ac:dyDescent="0.55000000000000004">
      <c r="B65" s="66" t="str">
        <f>B19</f>
        <v>Active users</v>
      </c>
      <c r="C65" s="171">
        <f>C19/M19-1</f>
        <v>0</v>
      </c>
      <c r="D65" s="171">
        <f t="shared" ref="D65:K65" si="23">D19/N19-1</f>
        <v>0</v>
      </c>
      <c r="E65" s="171">
        <f t="shared" si="23"/>
        <v>0</v>
      </c>
      <c r="F65" s="171">
        <f t="shared" si="23"/>
        <v>1.5873964705335197E-3</v>
      </c>
      <c r="G65" s="171">
        <f t="shared" si="23"/>
        <v>4.2191935550337512E-3</v>
      </c>
      <c r="H65" s="171">
        <f t="shared" si="23"/>
        <v>1.1746874221965076E-2</v>
      </c>
      <c r="I65" s="171">
        <f t="shared" si="23"/>
        <v>-9.7424423806946603E-3</v>
      </c>
      <c r="J65" s="171">
        <f t="shared" si="23"/>
        <v>-4.300473188413223E-2</v>
      </c>
      <c r="K65" s="171">
        <f t="shared" si="23"/>
        <v>-0.10705202760680144</v>
      </c>
      <c r="L65" s="66"/>
      <c r="M65" s="66"/>
      <c r="N65" s="66"/>
      <c r="O65" s="66"/>
      <c r="P65" s="66"/>
      <c r="Q65" s="66"/>
      <c r="R65" s="66"/>
      <c r="S65" s="66"/>
      <c r="T65" s="66"/>
      <c r="U65" s="66"/>
      <c r="V65" s="66"/>
      <c r="W65" s="66"/>
      <c r="X65" s="66"/>
      <c r="Y65" s="66"/>
      <c r="Z65" s="66"/>
      <c r="AA65" s="66"/>
      <c r="AB65" s="66"/>
      <c r="AC65" s="66"/>
      <c r="AD65" s="66"/>
      <c r="AE65" s="66"/>
      <c r="AF65" s="66"/>
      <c r="AG65" s="66"/>
    </row>
    <row r="66" spans="2:33" x14ac:dyDescent="0.55000000000000004">
      <c r="B66" s="66" t="str">
        <f>B20</f>
        <v>Inflows/ active</v>
      </c>
      <c r="C66" s="171">
        <f>C20/M20-1</f>
        <v>-3.1023285704633974E-2</v>
      </c>
      <c r="D66" s="171">
        <f t="shared" ref="D66:K66" si="24">D20/N20-1</f>
        <v>0</v>
      </c>
      <c r="E66" s="171">
        <f t="shared" si="24"/>
        <v>0</v>
      </c>
      <c r="F66" s="171">
        <f t="shared" si="24"/>
        <v>1.1014024459928828E-2</v>
      </c>
      <c r="G66" s="171">
        <f t="shared" si="24"/>
        <v>4.1432997341264155E-3</v>
      </c>
      <c r="H66" s="171">
        <f t="shared" si="24"/>
        <v>-1.8126566506942998E-2</v>
      </c>
      <c r="I66" s="171">
        <f t="shared" si="24"/>
        <v>3.2705378137003915E-2</v>
      </c>
      <c r="J66" s="171">
        <f t="shared" si="24"/>
        <v>0.11686687673907703</v>
      </c>
      <c r="K66" s="171">
        <f t="shared" si="24"/>
        <v>0.18882812462520393</v>
      </c>
      <c r="L66" s="66"/>
      <c r="M66" s="66"/>
      <c r="N66" s="66"/>
      <c r="O66" s="66"/>
      <c r="P66" s="66"/>
      <c r="Q66" s="66"/>
      <c r="R66" s="66"/>
      <c r="S66" s="66"/>
      <c r="T66" s="66"/>
      <c r="U66" s="66"/>
      <c r="V66" s="66"/>
      <c r="W66" s="66"/>
      <c r="X66" s="66"/>
      <c r="Y66" s="66"/>
      <c r="Z66" s="66"/>
      <c r="AA66" s="66"/>
      <c r="AB66" s="66"/>
      <c r="AC66" s="66"/>
      <c r="AD66" s="66"/>
      <c r="AE66" s="66"/>
      <c r="AF66" s="66"/>
      <c r="AG66" s="66"/>
    </row>
    <row r="67" spans="2:33" x14ac:dyDescent="0.55000000000000004">
      <c r="B67" s="66" t="str">
        <f>B21</f>
        <v>Inflows, $ billion</v>
      </c>
      <c r="C67" s="171">
        <f>C21/M21-1</f>
        <v>-2.5161290322580632E-3</v>
      </c>
      <c r="D67" s="171">
        <f t="shared" ref="D67:K67" si="25">D21/N21-1</f>
        <v>0</v>
      </c>
      <c r="E67" s="171">
        <f t="shared" si="25"/>
        <v>0</v>
      </c>
      <c r="F67" s="171">
        <f t="shared" si="25"/>
        <v>1.4079943963952957E-2</v>
      </c>
      <c r="G67" s="171">
        <f t="shared" si="25"/>
        <v>1.0969085914904753E-2</v>
      </c>
      <c r="H67" s="171">
        <f t="shared" si="25"/>
        <v>7.0566649603156506E-3</v>
      </c>
      <c r="I67" s="171">
        <f t="shared" si="25"/>
        <v>2.883710878113388E-2</v>
      </c>
      <c r="J67" s="171">
        <f t="shared" si="25"/>
        <v>4.1622598923173326E-2</v>
      </c>
      <c r="K67" s="171">
        <f t="shared" si="25"/>
        <v>5.3249219404031711E-2</v>
      </c>
      <c r="L67" s="66"/>
      <c r="M67" s="66"/>
      <c r="N67" s="66"/>
      <c r="O67" s="66"/>
      <c r="P67" s="66"/>
      <c r="Q67" s="66"/>
      <c r="R67" s="66"/>
      <c r="S67" s="66"/>
      <c r="T67" s="66"/>
      <c r="U67" s="66"/>
      <c r="V67" s="66"/>
      <c r="W67" s="66"/>
      <c r="X67" s="66"/>
      <c r="Y67" s="66"/>
      <c r="Z67" s="66"/>
      <c r="AA67" s="66"/>
      <c r="AB67" s="66"/>
      <c r="AC67" s="66"/>
      <c r="AD67" s="66"/>
      <c r="AE67" s="66"/>
      <c r="AF67" s="66"/>
      <c r="AG67" s="66"/>
    </row>
    <row r="68" spans="2:33" x14ac:dyDescent="0.55000000000000004">
      <c r="B68" s="66"/>
      <c r="C68" s="66"/>
      <c r="D68" s="66"/>
      <c r="E68" s="66"/>
      <c r="F68" s="66"/>
      <c r="G68" s="66"/>
      <c r="H68" s="66"/>
      <c r="I68" s="66"/>
      <c r="J68" s="66"/>
      <c r="K68" s="66"/>
      <c r="L68" s="66"/>
      <c r="M68" s="66"/>
      <c r="N68" s="66"/>
      <c r="O68" s="66"/>
      <c r="P68" s="66"/>
      <c r="Q68" s="66"/>
      <c r="R68" s="66"/>
      <c r="S68" s="66"/>
      <c r="T68" s="66"/>
      <c r="U68" s="66"/>
      <c r="V68" s="66"/>
      <c r="W68" s="66"/>
      <c r="X68" s="66"/>
      <c r="Y68" s="66"/>
      <c r="Z68" s="66"/>
      <c r="AA68" s="66"/>
      <c r="AB68" s="66"/>
      <c r="AC68" s="66"/>
      <c r="AD68" s="66"/>
      <c r="AE68" s="66"/>
      <c r="AF68" s="66"/>
      <c r="AG68" s="66"/>
    </row>
    <row r="69" spans="2:33" x14ac:dyDescent="0.55000000000000004">
      <c r="B69" s="66" t="str">
        <f>B30</f>
        <v>BNPL revenue</v>
      </c>
      <c r="C69" s="171">
        <f>C30/M30-1</f>
        <v>4.8652945123823788E-3</v>
      </c>
      <c r="D69" s="171">
        <f t="shared" ref="D69:K69" si="26">D30/N30-1</f>
        <v>5.1874355026622077E-2</v>
      </c>
      <c r="E69" s="171">
        <f t="shared" si="26"/>
        <v>-3.0328135937153111E-2</v>
      </c>
      <c r="F69" s="171">
        <f t="shared" si="26"/>
        <v>4.7817307926225183E-2</v>
      </c>
      <c r="G69" s="171">
        <f t="shared" si="26"/>
        <v>9.0136669107301781E-2</v>
      </c>
      <c r="H69" s="171">
        <f t="shared" si="26"/>
        <v>5.2054816510131108E-2</v>
      </c>
      <c r="I69" s="171">
        <f t="shared" si="26"/>
        <v>0.14373879396403888</v>
      </c>
      <c r="J69" s="171">
        <f t="shared" si="26"/>
        <v>0.37389767063902113</v>
      </c>
      <c r="K69" s="171">
        <f t="shared" si="26"/>
        <v>0.45068527602043207</v>
      </c>
      <c r="L69" s="66"/>
      <c r="M69" s="66"/>
      <c r="N69" s="66"/>
      <c r="O69" s="66"/>
      <c r="P69" s="66"/>
      <c r="Q69" s="66"/>
      <c r="R69" s="66"/>
      <c r="S69" s="66"/>
      <c r="T69" s="66"/>
      <c r="U69" s="66"/>
      <c r="V69" s="66"/>
      <c r="W69" s="66"/>
      <c r="X69" s="66"/>
      <c r="Y69" s="66"/>
      <c r="Z69" s="66"/>
      <c r="AA69" s="66"/>
      <c r="AB69" s="66"/>
      <c r="AC69" s="66"/>
      <c r="AD69" s="66"/>
      <c r="AE69" s="66"/>
      <c r="AF69" s="66"/>
      <c r="AG69" s="66"/>
    </row>
    <row r="70" spans="2:33" x14ac:dyDescent="0.55000000000000004">
      <c r="B70" s="66" t="str">
        <f>B31</f>
        <v>BNPL GP</v>
      </c>
      <c r="C70" s="171">
        <f>C31/M31-1</f>
        <v>2.2649006622432744E-4</v>
      </c>
      <c r="D70" s="171">
        <f t="shared" ref="D70:K70" si="27">D31/N31-1</f>
        <v>2.9394343573417414E-2</v>
      </c>
      <c r="E70" s="171">
        <f t="shared" si="27"/>
        <v>-2.860208349766924E-2</v>
      </c>
      <c r="F70" s="171">
        <f t="shared" si="27"/>
        <v>-1.6237337183812039E-3</v>
      </c>
      <c r="G70" s="171">
        <f t="shared" si="27"/>
        <v>-9.903653638562615E-2</v>
      </c>
      <c r="H70" s="171">
        <f t="shared" si="27"/>
        <v>-3.1222375971263761E-2</v>
      </c>
      <c r="I70" s="171">
        <f t="shared" si="27"/>
        <v>3.2582069935775726E-2</v>
      </c>
      <c r="J70" s="171">
        <f t="shared" si="27"/>
        <v>0.13587025328566282</v>
      </c>
      <c r="K70" s="171">
        <f t="shared" si="27"/>
        <v>0.33448727828155245</v>
      </c>
      <c r="L70" s="66"/>
      <c r="M70" s="66"/>
      <c r="N70" s="66"/>
      <c r="O70" s="66"/>
      <c r="P70" s="66"/>
      <c r="Q70" s="66"/>
      <c r="R70" s="66"/>
      <c r="S70" s="66"/>
      <c r="T70" s="66"/>
      <c r="U70" s="66"/>
      <c r="V70" s="66"/>
      <c r="W70" s="66"/>
      <c r="X70" s="66"/>
      <c r="Y70" s="66"/>
      <c r="Z70" s="66"/>
      <c r="AA70" s="66"/>
      <c r="AB70" s="66"/>
      <c r="AC70" s="66"/>
      <c r="AD70" s="66"/>
      <c r="AE70" s="66"/>
      <c r="AF70" s="66"/>
      <c r="AG70" s="66"/>
    </row>
    <row r="71" spans="2:33" x14ac:dyDescent="0.55000000000000004">
      <c r="B71" s="66" t="str">
        <f>B32</f>
        <v>Adj. Cash App GP</v>
      </c>
      <c r="C71" s="171">
        <f>C32/M32-1</f>
        <v>-4.7779681024873177E-5</v>
      </c>
      <c r="D71" s="171">
        <f t="shared" ref="D71:K71" si="28">D32/N32-1</f>
        <v>-5.5279926863437412E-3</v>
      </c>
      <c r="E71" s="171">
        <f t="shared" si="28"/>
        <v>5.67518654936916E-3</v>
      </c>
      <c r="F71" s="171">
        <f t="shared" si="28"/>
        <v>8.5004388690237409E-3</v>
      </c>
      <c r="G71" s="171">
        <f t="shared" si="28"/>
        <v>-2.3590500042367513E-3</v>
      </c>
      <c r="H71" s="171">
        <f t="shared" si="28"/>
        <v>2.9036505916246735E-3</v>
      </c>
      <c r="I71" s="171">
        <f t="shared" si="28"/>
        <v>-1.5977894858173691E-2</v>
      </c>
      <c r="J71" s="171">
        <f t="shared" si="28"/>
        <v>-4.3259059898055341E-2</v>
      </c>
      <c r="K71" s="171">
        <f t="shared" si="28"/>
        <v>-0.13687335524498834</v>
      </c>
      <c r="L71" s="66"/>
      <c r="M71" s="66"/>
      <c r="N71" s="66"/>
      <c r="O71" s="66"/>
      <c r="P71" s="66"/>
      <c r="Q71" s="66"/>
      <c r="R71" s="66"/>
      <c r="S71" s="66"/>
      <c r="T71" s="66"/>
      <c r="U71" s="66"/>
      <c r="V71" s="66"/>
      <c r="W71" s="66"/>
      <c r="X71" s="66"/>
      <c r="Y71" s="66"/>
      <c r="Z71" s="66"/>
      <c r="AA71" s="66"/>
      <c r="AB71" s="66"/>
      <c r="AC71" s="66"/>
      <c r="AD71" s="66"/>
      <c r="AE71" s="66"/>
      <c r="AF71" s="66"/>
      <c r="AG71" s="66"/>
    </row>
    <row r="72" spans="2:33" x14ac:dyDescent="0.55000000000000004">
      <c r="B72" s="66"/>
      <c r="C72" s="66"/>
      <c r="D72" s="66"/>
      <c r="E72" s="66"/>
      <c r="F72" s="66"/>
      <c r="G72" s="66"/>
      <c r="H72" s="66"/>
      <c r="I72" s="66"/>
      <c r="J72" s="66"/>
      <c r="K72" s="66"/>
      <c r="L72" s="66"/>
      <c r="M72" s="66"/>
      <c r="N72" s="66"/>
      <c r="O72" s="66"/>
      <c r="P72" s="66"/>
      <c r="Q72" s="66"/>
      <c r="R72" s="66"/>
      <c r="S72" s="66"/>
      <c r="T72" s="66"/>
      <c r="U72" s="66"/>
      <c r="V72" s="66"/>
      <c r="W72" s="66"/>
      <c r="X72" s="66"/>
      <c r="Y72" s="66"/>
      <c r="Z72" s="66"/>
      <c r="AA72" s="66"/>
      <c r="AB72" s="66"/>
      <c r="AC72" s="66"/>
      <c r="AD72" s="66"/>
      <c r="AE72" s="66"/>
      <c r="AF72" s="66"/>
      <c r="AG72" s="66"/>
    </row>
    <row r="73" spans="2:33" x14ac:dyDescent="0.55000000000000004">
      <c r="B73" s="66" t="str">
        <f>B35</f>
        <v>EBIT</v>
      </c>
      <c r="C73" s="171">
        <f t="shared" ref="C73:K73" si="29">C35/M35-1</f>
        <v>0</v>
      </c>
      <c r="D73" s="171">
        <f t="shared" si="29"/>
        <v>0</v>
      </c>
      <c r="E73" s="171">
        <f t="shared" si="29"/>
        <v>0</v>
      </c>
      <c r="F73" s="171">
        <f t="shared" si="29"/>
        <v>-8.6940445683860612E-2</v>
      </c>
      <c r="G73" s="171">
        <f t="shared" si="29"/>
        <v>-0.20687789698636017</v>
      </c>
      <c r="H73" s="171">
        <f t="shared" si="29"/>
        <v>-7.2766054411403047E-2</v>
      </c>
      <c r="I73" s="171">
        <f t="shared" si="29"/>
        <v>-6.19155193607831E-2</v>
      </c>
      <c r="J73" s="171">
        <f t="shared" si="29"/>
        <v>-7.4405828153348064E-2</v>
      </c>
      <c r="K73" s="171">
        <f t="shared" si="29"/>
        <v>-0.1776337011171818</v>
      </c>
      <c r="L73" s="66"/>
      <c r="M73" s="66"/>
      <c r="N73" s="66"/>
      <c r="O73" s="66"/>
      <c r="P73" s="66"/>
      <c r="Q73" s="66"/>
      <c r="R73" s="66"/>
      <c r="S73" s="66"/>
      <c r="T73" s="66"/>
      <c r="U73" s="66"/>
      <c r="V73" s="66"/>
      <c r="W73" s="66"/>
      <c r="X73" s="66"/>
      <c r="Y73" s="66"/>
      <c r="Z73" s="66"/>
      <c r="AA73" s="66"/>
      <c r="AB73" s="66"/>
      <c r="AC73" s="66"/>
      <c r="AD73" s="66"/>
      <c r="AE73" s="66"/>
      <c r="AF73" s="66"/>
      <c r="AG73" s="66"/>
    </row>
    <row r="74" spans="2:33" x14ac:dyDescent="0.55000000000000004">
      <c r="B74" s="66" t="str">
        <f>B37</f>
        <v>Adj EBIT</v>
      </c>
      <c r="C74" s="171">
        <f t="shared" ref="C74:K74" si="30">C37/M37-1</f>
        <v>0</v>
      </c>
      <c r="D74" s="171">
        <f t="shared" si="30"/>
        <v>0</v>
      </c>
      <c r="E74" s="171">
        <f t="shared" si="30"/>
        <v>0</v>
      </c>
      <c r="F74" s="171">
        <f t="shared" si="30"/>
        <v>1.6378853002435356E-2</v>
      </c>
      <c r="G74" s="171">
        <f t="shared" si="30"/>
        <v>-4.5670048738461144E-2</v>
      </c>
      <c r="H74" s="171">
        <f t="shared" si="30"/>
        <v>-7.674487427378196E-4</v>
      </c>
      <c r="I74" s="171">
        <f>I37/S37-1</f>
        <v>-1.131655637122253E-2</v>
      </c>
      <c r="J74" s="171">
        <f t="shared" si="30"/>
        <v>-2.6870563918579005E-2</v>
      </c>
      <c r="K74" s="171">
        <f t="shared" si="30"/>
        <v>-0.11928679426703559</v>
      </c>
      <c r="L74" s="66"/>
      <c r="M74" s="66"/>
      <c r="N74" s="66"/>
      <c r="O74" s="66"/>
      <c r="P74" s="66"/>
      <c r="Q74" s="66"/>
      <c r="R74" s="66"/>
      <c r="S74" s="66"/>
      <c r="T74" s="66"/>
      <c r="U74" s="66"/>
      <c r="V74" s="66"/>
      <c r="W74" s="66"/>
      <c r="X74" s="66"/>
      <c r="Y74" s="66"/>
      <c r="Z74" s="66"/>
      <c r="AA74" s="66"/>
      <c r="AB74" s="66"/>
      <c r="AC74" s="66"/>
      <c r="AD74" s="66"/>
      <c r="AE74" s="66"/>
      <c r="AF74" s="66"/>
      <c r="AG74" s="66"/>
    </row>
    <row r="75" spans="2:33" x14ac:dyDescent="0.55000000000000004">
      <c r="B75" s="66"/>
      <c r="C75" s="66"/>
      <c r="D75" s="66"/>
      <c r="E75" s="66"/>
      <c r="F75" s="66"/>
      <c r="G75" s="66"/>
      <c r="H75" s="66"/>
      <c r="I75" s="66"/>
      <c r="J75" s="66"/>
      <c r="K75" s="66"/>
      <c r="L75" s="66"/>
      <c r="M75" s="66"/>
      <c r="N75" s="66"/>
      <c r="O75" s="66"/>
      <c r="P75" s="66"/>
      <c r="Q75" s="66"/>
      <c r="R75" s="66"/>
      <c r="S75" s="66"/>
      <c r="T75" s="66"/>
      <c r="U75" s="66"/>
      <c r="V75" s="66"/>
      <c r="W75" s="66"/>
      <c r="X75" s="66"/>
      <c r="Y75" s="66"/>
      <c r="Z75" s="66"/>
      <c r="AA75" s="66"/>
      <c r="AB75" s="66"/>
      <c r="AC75" s="66"/>
      <c r="AD75" s="66"/>
      <c r="AE75" s="66"/>
      <c r="AF75" s="66"/>
      <c r="AG75" s="66"/>
    </row>
    <row r="76" spans="2:33" x14ac:dyDescent="0.55000000000000004">
      <c r="B76" s="66" t="s">
        <v>678</v>
      </c>
      <c r="C76" s="134">
        <f>C42/M42-1</f>
        <v>0</v>
      </c>
      <c r="D76" s="134">
        <f t="shared" ref="D76:K76" si="31">D42/N42-1</f>
        <v>0</v>
      </c>
      <c r="E76" s="134">
        <f t="shared" si="31"/>
        <v>0</v>
      </c>
      <c r="F76" s="134">
        <f t="shared" si="31"/>
        <v>0.11353690258611349</v>
      </c>
      <c r="G76" s="134">
        <f t="shared" si="31"/>
        <v>0.73649681337391937</v>
      </c>
      <c r="H76" s="134">
        <f t="shared" si="31"/>
        <v>0.19725345784955683</v>
      </c>
      <c r="I76" s="134">
        <f t="shared" si="31"/>
        <v>5.1846537876677923E-2</v>
      </c>
      <c r="J76" s="134">
        <f t="shared" si="31"/>
        <v>1.4966599642589618E-3</v>
      </c>
      <c r="K76" s="134">
        <f t="shared" si="31"/>
        <v>-0.17183251476205819</v>
      </c>
      <c r="L76" s="66"/>
      <c r="M76" s="66"/>
      <c r="N76" s="66"/>
      <c r="O76" s="66"/>
      <c r="P76" s="66"/>
      <c r="Q76" s="66"/>
      <c r="R76" s="66"/>
      <c r="S76" s="66"/>
      <c r="T76" s="66"/>
      <c r="U76" s="66"/>
      <c r="V76" s="66"/>
      <c r="W76" s="66"/>
      <c r="X76" s="66"/>
      <c r="Y76" s="66"/>
      <c r="Z76" s="66"/>
      <c r="AA76" s="66"/>
      <c r="AB76" s="66"/>
      <c r="AC76" s="66"/>
      <c r="AD76" s="66"/>
      <c r="AE76" s="66"/>
      <c r="AF76" s="66"/>
      <c r="AG76" s="66"/>
    </row>
    <row r="77" spans="2:33" x14ac:dyDescent="0.55000000000000004">
      <c r="B77" s="66" t="s">
        <v>703</v>
      </c>
      <c r="C77" s="134">
        <f>C46/M46-1</f>
        <v>0</v>
      </c>
      <c r="D77" s="134">
        <f t="shared" ref="D77:K77" si="32">D46/N46-1</f>
        <v>-1.2395590632395814E-3</v>
      </c>
      <c r="E77" s="134">
        <f t="shared" si="32"/>
        <v>-1.1435455000465833E-3</v>
      </c>
      <c r="F77" s="134">
        <f t="shared" si="32"/>
        <v>-3.8968721449119781E-2</v>
      </c>
      <c r="G77" s="134">
        <f t="shared" si="32"/>
        <v>0.16409177065833669</v>
      </c>
      <c r="H77" s="134">
        <f t="shared" si="32"/>
        <v>3.7665444191884001E-2</v>
      </c>
      <c r="I77" s="134">
        <f t="shared" si="32"/>
        <v>-5.8353828682287778E-2</v>
      </c>
      <c r="J77" s="134">
        <f t="shared" si="32"/>
        <v>-6.570177276552025E-2</v>
      </c>
      <c r="K77" s="134">
        <f t="shared" si="32"/>
        <v>-0.16325901164820822</v>
      </c>
      <c r="L77" s="66"/>
      <c r="M77" s="66"/>
      <c r="N77" s="66"/>
      <c r="O77" s="66"/>
      <c r="P77" s="66"/>
      <c r="Q77" s="66"/>
      <c r="R77" s="66"/>
      <c r="S77" s="66"/>
      <c r="T77" s="66"/>
      <c r="U77" s="66"/>
      <c r="V77" s="66"/>
      <c r="W77" s="66"/>
      <c r="X77" s="66"/>
      <c r="Y77" s="66"/>
      <c r="Z77" s="66"/>
      <c r="AA77" s="66"/>
      <c r="AB77" s="66"/>
      <c r="AC77" s="66"/>
      <c r="AD77" s="66"/>
      <c r="AE77" s="66"/>
      <c r="AF77" s="66"/>
      <c r="AG77" s="66"/>
    </row>
    <row r="78" spans="2:33" x14ac:dyDescent="0.55000000000000004">
      <c r="B78" s="66" t="s">
        <v>616</v>
      </c>
      <c r="C78" s="134">
        <f>C47/M47-1</f>
        <v>0</v>
      </c>
      <c r="D78" s="134">
        <f t="shared" ref="D78:K78" si="33">D47/N47-1</f>
        <v>-9.4882278302551581E-3</v>
      </c>
      <c r="E78" s="134">
        <f t="shared" si="33"/>
        <v>-1.7101086705553215E-3</v>
      </c>
      <c r="F78" s="134">
        <f t="shared" si="33"/>
        <v>-0.14587792793089294</v>
      </c>
      <c r="G78" s="134">
        <f t="shared" si="33"/>
        <v>-0.35177925110555885</v>
      </c>
      <c r="H78" s="134">
        <f t="shared" si="33"/>
        <v>-0.13427411042654147</v>
      </c>
      <c r="I78" s="134">
        <f t="shared" si="33"/>
        <v>-0.19351860322332015</v>
      </c>
      <c r="J78" s="134">
        <f t="shared" si="33"/>
        <v>-0.18180405144260625</v>
      </c>
      <c r="K78" s="134">
        <f t="shared" si="33"/>
        <v>-0.14254197570002725</v>
      </c>
      <c r="L78" s="66"/>
      <c r="M78" s="66"/>
      <c r="N78" s="66"/>
      <c r="O78" s="66"/>
      <c r="P78" s="66"/>
      <c r="Q78" s="66"/>
      <c r="R78" s="66"/>
      <c r="S78" s="66"/>
      <c r="T78" s="66"/>
      <c r="U78" s="66"/>
      <c r="V78" s="66"/>
      <c r="W78" s="66"/>
      <c r="X78" s="66"/>
      <c r="Y78" s="66"/>
      <c r="Z78" s="66"/>
      <c r="AA78" s="66"/>
      <c r="AB78" s="66"/>
      <c r="AC78" s="66"/>
      <c r="AD78" s="66"/>
      <c r="AE78" s="66"/>
      <c r="AF78" s="66"/>
      <c r="AG78" s="66"/>
    </row>
    <row r="79" spans="2:33" x14ac:dyDescent="0.55000000000000004">
      <c r="B79" s="66"/>
      <c r="C79" s="66"/>
      <c r="D79" s="66"/>
      <c r="E79" s="66"/>
      <c r="F79" s="66"/>
      <c r="G79" s="66"/>
      <c r="H79" s="66"/>
      <c r="I79" s="66"/>
      <c r="J79" s="66"/>
      <c r="K79" s="66"/>
      <c r="L79" s="66"/>
      <c r="M79" s="66"/>
      <c r="N79" s="66"/>
      <c r="O79" s="66"/>
      <c r="P79" s="66"/>
      <c r="Q79" s="66"/>
      <c r="R79" s="66"/>
      <c r="S79" s="66"/>
      <c r="T79" s="66"/>
      <c r="U79" s="66"/>
      <c r="V79" s="66"/>
      <c r="W79" s="66"/>
      <c r="X79" s="66"/>
      <c r="Y79" s="66"/>
      <c r="Z79" s="66"/>
      <c r="AA79" s="66"/>
      <c r="AB79" s="66"/>
      <c r="AC79" s="66"/>
      <c r="AD79" s="66"/>
      <c r="AE79" s="66"/>
      <c r="AF79" s="66"/>
      <c r="AG79" s="66"/>
    </row>
    <row r="80" spans="2:33" x14ac:dyDescent="0.55000000000000004">
      <c r="B80" s="66"/>
      <c r="C80" s="66"/>
      <c r="D80" s="66"/>
      <c r="E80" s="66"/>
      <c r="F80" s="66"/>
      <c r="G80" s="66"/>
      <c r="H80" s="66"/>
      <c r="I80" s="66"/>
      <c r="J80" s="66"/>
      <c r="K80" s="66"/>
      <c r="L80" s="66"/>
      <c r="M80" s="66"/>
      <c r="N80" s="66"/>
      <c r="O80" s="66"/>
      <c r="P80" s="66"/>
      <c r="Q80" s="66"/>
      <c r="R80" s="66"/>
      <c r="S80" s="66"/>
      <c r="T80" s="66"/>
      <c r="U80" s="66"/>
      <c r="V80" s="66"/>
      <c r="W80" s="66"/>
      <c r="X80" s="66"/>
      <c r="Y80" s="66"/>
      <c r="Z80" s="66"/>
      <c r="AA80" s="66"/>
      <c r="AB80" s="66"/>
      <c r="AC80" s="66"/>
      <c r="AD80" s="66"/>
      <c r="AE80" s="66"/>
      <c r="AF80" s="66"/>
      <c r="AG80" s="66"/>
    </row>
    <row r="81" spans="2:33" x14ac:dyDescent="0.55000000000000004">
      <c r="B81" s="66"/>
      <c r="C81" s="66"/>
      <c r="D81" s="66"/>
      <c r="E81" s="66"/>
      <c r="F81" s="66"/>
      <c r="G81" s="66"/>
      <c r="H81" s="66"/>
      <c r="I81" s="66"/>
      <c r="J81" s="66"/>
      <c r="K81" s="66"/>
      <c r="L81" s="66"/>
      <c r="M81" s="66"/>
      <c r="N81" s="66"/>
      <c r="O81" s="66"/>
      <c r="P81" s="66"/>
      <c r="Q81" s="66"/>
      <c r="R81" s="66"/>
      <c r="S81" s="66"/>
      <c r="T81" s="66"/>
      <c r="U81" s="66"/>
      <c r="V81" s="66"/>
      <c r="W81" s="66"/>
      <c r="X81" s="66"/>
      <c r="Y81" s="66"/>
      <c r="Z81" s="66"/>
      <c r="AA81" s="66"/>
      <c r="AB81" s="66"/>
      <c r="AC81" s="66"/>
      <c r="AD81" s="66"/>
      <c r="AE81" s="66"/>
      <c r="AF81" s="66"/>
      <c r="AG81" s="66"/>
    </row>
    <row r="82" spans="2:33" x14ac:dyDescent="0.55000000000000004">
      <c r="B82" s="66"/>
      <c r="C82" s="66"/>
      <c r="D82" s="66"/>
      <c r="E82" s="66"/>
      <c r="F82" s="66"/>
      <c r="G82" s="66"/>
      <c r="H82" s="66"/>
      <c r="I82" s="66"/>
      <c r="J82" s="66"/>
      <c r="K82" s="66"/>
      <c r="L82" s="66"/>
      <c r="M82" s="66"/>
      <c r="N82" s="66"/>
      <c r="O82" s="66"/>
      <c r="P82" s="66"/>
      <c r="Q82" s="66"/>
      <c r="R82" s="66"/>
      <c r="S82" s="66"/>
      <c r="T82" s="66"/>
      <c r="U82" s="66"/>
      <c r="V82" s="66"/>
      <c r="W82" s="66"/>
      <c r="X82" s="66"/>
      <c r="Y82" s="66"/>
      <c r="Z82" s="66"/>
      <c r="AA82" s="66"/>
      <c r="AB82" s="66"/>
      <c r="AC82" s="66"/>
      <c r="AD82" s="66"/>
      <c r="AE82" s="66"/>
      <c r="AF82" s="66"/>
      <c r="AG82" s="66"/>
    </row>
    <row r="83" spans="2:33" x14ac:dyDescent="0.55000000000000004">
      <c r="B83" s="66"/>
      <c r="C83" s="66"/>
      <c r="D83" s="66"/>
      <c r="E83" s="66"/>
      <c r="F83" s="66"/>
      <c r="G83" s="66"/>
      <c r="H83" s="66"/>
      <c r="I83" s="66"/>
      <c r="J83" s="66"/>
      <c r="K83" s="66"/>
      <c r="L83" s="66"/>
      <c r="M83" s="66"/>
      <c r="N83" s="66"/>
      <c r="O83" s="66"/>
      <c r="P83" s="66"/>
      <c r="Q83" s="66"/>
      <c r="R83" s="66"/>
      <c r="S83" s="66"/>
      <c r="T83" s="66"/>
      <c r="U83" s="66"/>
      <c r="V83" s="66"/>
      <c r="W83" s="66"/>
      <c r="X83" s="66"/>
      <c r="Y83" s="66"/>
      <c r="Z83" s="66"/>
      <c r="AA83" s="66"/>
      <c r="AB83" s="66"/>
      <c r="AC83" s="66"/>
      <c r="AD83" s="66"/>
      <c r="AE83" s="66"/>
      <c r="AF83" s="66"/>
      <c r="AG83" s="66"/>
    </row>
    <row r="84" spans="2:33" x14ac:dyDescent="0.55000000000000004">
      <c r="B84" s="66"/>
      <c r="C84" s="66"/>
      <c r="D84" s="66"/>
      <c r="E84" s="66"/>
      <c r="F84" s="66"/>
      <c r="G84" s="66"/>
      <c r="H84" s="66"/>
      <c r="I84" s="66"/>
      <c r="J84" s="66"/>
      <c r="K84" s="66"/>
      <c r="L84" s="66"/>
      <c r="M84" s="66"/>
      <c r="N84" s="66"/>
      <c r="O84" s="66"/>
      <c r="P84" s="66"/>
      <c r="Q84" s="66"/>
      <c r="R84" s="66"/>
      <c r="S84" s="66"/>
      <c r="T84" s="66"/>
      <c r="U84" s="66"/>
      <c r="V84" s="66"/>
      <c r="W84" s="66"/>
      <c r="X84" s="66"/>
      <c r="Y84" s="66"/>
      <c r="Z84" s="66"/>
      <c r="AA84" s="66"/>
      <c r="AB84" s="66"/>
      <c r="AC84" s="66"/>
      <c r="AD84" s="66"/>
      <c r="AE84" s="66"/>
      <c r="AF84" s="66"/>
      <c r="AG84" s="66"/>
    </row>
    <row r="85" spans="2:33" x14ac:dyDescent="0.55000000000000004">
      <c r="B85" s="66"/>
      <c r="C85" s="66"/>
      <c r="D85" s="66"/>
      <c r="E85" s="66"/>
      <c r="F85" s="66"/>
      <c r="G85" s="66"/>
      <c r="H85" s="66"/>
      <c r="I85" s="66"/>
      <c r="J85" s="66"/>
      <c r="K85" s="66"/>
      <c r="L85" s="66"/>
      <c r="M85" s="66"/>
      <c r="N85" s="66"/>
      <c r="O85" s="66"/>
      <c r="P85" s="66"/>
      <c r="Q85" s="66"/>
      <c r="R85" s="66"/>
      <c r="S85" s="66"/>
      <c r="T85" s="66"/>
      <c r="U85" s="66"/>
      <c r="V85" s="66"/>
      <c r="W85" s="66"/>
      <c r="X85" s="66"/>
      <c r="Y85" s="66"/>
      <c r="Z85" s="66"/>
      <c r="AA85" s="66"/>
      <c r="AB85" s="66"/>
      <c r="AC85" s="66"/>
      <c r="AD85" s="66"/>
      <c r="AE85" s="66"/>
      <c r="AF85" s="66"/>
      <c r="AG85" s="66"/>
    </row>
    <row r="86" spans="2:33" x14ac:dyDescent="0.55000000000000004">
      <c r="B86" s="66"/>
      <c r="C86" s="66"/>
      <c r="D86" s="66"/>
      <c r="E86" s="66"/>
      <c r="F86" s="66"/>
      <c r="G86" s="66"/>
      <c r="H86" s="66"/>
      <c r="I86" s="66"/>
      <c r="J86" s="66"/>
      <c r="K86" s="66"/>
      <c r="L86" s="66"/>
      <c r="M86" s="66"/>
      <c r="N86" s="66"/>
      <c r="O86" s="66"/>
      <c r="P86" s="66"/>
      <c r="Q86" s="66"/>
      <c r="R86" s="66"/>
      <c r="S86" s="66"/>
      <c r="T86" s="66"/>
      <c r="U86" s="66"/>
      <c r="V86" s="66"/>
      <c r="W86" s="66"/>
      <c r="X86" s="66"/>
      <c r="Y86" s="66"/>
      <c r="Z86" s="66"/>
      <c r="AA86" s="66"/>
      <c r="AB86" s="66"/>
      <c r="AC86" s="66"/>
      <c r="AD86" s="66"/>
      <c r="AE86" s="66"/>
      <c r="AF86" s="66"/>
      <c r="AG86" s="66"/>
    </row>
    <row r="87" spans="2:33" x14ac:dyDescent="0.55000000000000004">
      <c r="B87" s="66"/>
      <c r="C87" s="66"/>
      <c r="D87" s="66"/>
      <c r="E87" s="66"/>
      <c r="F87" s="66"/>
      <c r="G87" s="66"/>
      <c r="H87" s="66"/>
      <c r="I87" s="66"/>
      <c r="J87" s="66"/>
      <c r="K87" s="66"/>
      <c r="L87" s="66"/>
      <c r="M87" s="66"/>
      <c r="N87" s="66"/>
      <c r="O87" s="66"/>
      <c r="P87" s="66"/>
      <c r="Q87" s="66"/>
      <c r="R87" s="66"/>
      <c r="S87" s="66"/>
      <c r="T87" s="66"/>
      <c r="U87" s="66"/>
      <c r="V87" s="66"/>
      <c r="W87" s="66"/>
      <c r="X87" s="66"/>
      <c r="Y87" s="66"/>
      <c r="Z87" s="66"/>
      <c r="AA87" s="66"/>
      <c r="AB87" s="66"/>
      <c r="AC87" s="66"/>
      <c r="AD87" s="66"/>
      <c r="AE87" s="66"/>
      <c r="AF87" s="66"/>
      <c r="AG87" s="66"/>
    </row>
    <row r="88" spans="2:33" x14ac:dyDescent="0.55000000000000004">
      <c r="B88" s="66"/>
      <c r="C88" s="66"/>
      <c r="D88" s="66"/>
      <c r="E88" s="66"/>
      <c r="F88" s="66"/>
      <c r="G88" s="66"/>
      <c r="H88" s="66"/>
      <c r="I88" s="66"/>
      <c r="J88" s="66"/>
      <c r="K88" s="66"/>
      <c r="L88" s="66"/>
      <c r="M88" s="66"/>
      <c r="N88" s="66"/>
      <c r="O88" s="66"/>
      <c r="P88" s="66"/>
      <c r="Q88" s="66"/>
      <c r="R88" s="66"/>
      <c r="S88" s="66"/>
      <c r="T88" s="66"/>
      <c r="U88" s="66"/>
      <c r="V88" s="66"/>
      <c r="W88" s="66"/>
      <c r="X88" s="66"/>
      <c r="Y88" s="66"/>
      <c r="Z88" s="66"/>
      <c r="AA88" s="66"/>
      <c r="AB88" s="66"/>
      <c r="AC88" s="66"/>
      <c r="AD88" s="66"/>
      <c r="AE88" s="66"/>
      <c r="AF88" s="66"/>
      <c r="AG88" s="66"/>
    </row>
    <row r="89" spans="2:33" x14ac:dyDescent="0.55000000000000004">
      <c r="B89" s="66"/>
      <c r="C89" s="66"/>
      <c r="D89" s="66"/>
      <c r="E89" s="66"/>
      <c r="F89" s="66"/>
      <c r="G89" s="66"/>
      <c r="H89" s="66"/>
      <c r="I89" s="66"/>
      <c r="J89" s="66"/>
      <c r="K89" s="66"/>
      <c r="L89" s="66"/>
      <c r="M89" s="66"/>
      <c r="N89" s="66"/>
      <c r="O89" s="66"/>
      <c r="P89" s="66"/>
      <c r="Q89" s="66"/>
      <c r="R89" s="66"/>
      <c r="S89" s="66"/>
      <c r="T89" s="66"/>
      <c r="U89" s="66"/>
      <c r="V89" s="66"/>
      <c r="W89" s="66"/>
      <c r="X89" s="66"/>
      <c r="Y89" s="66"/>
      <c r="Z89" s="66"/>
      <c r="AA89" s="66"/>
      <c r="AB89" s="66"/>
      <c r="AC89" s="66"/>
      <c r="AD89" s="66"/>
      <c r="AE89" s="66"/>
      <c r="AF89" s="66"/>
      <c r="AG89" s="66"/>
    </row>
    <row r="90" spans="2:33" x14ac:dyDescent="0.55000000000000004">
      <c r="B90" s="66"/>
      <c r="C90" s="66"/>
      <c r="D90" s="66"/>
      <c r="E90" s="66"/>
      <c r="F90" s="66"/>
      <c r="G90" s="66"/>
      <c r="H90" s="66"/>
      <c r="I90" s="66"/>
      <c r="J90" s="66"/>
      <c r="K90" s="66"/>
      <c r="L90" s="66"/>
      <c r="M90" s="66"/>
      <c r="N90" s="66"/>
      <c r="O90" s="66"/>
      <c r="P90" s="66"/>
      <c r="Q90" s="66"/>
      <c r="R90" s="66"/>
      <c r="S90" s="66"/>
      <c r="T90" s="66"/>
      <c r="U90" s="66"/>
      <c r="V90" s="66"/>
      <c r="W90" s="66"/>
      <c r="X90" s="66"/>
      <c r="Y90" s="66"/>
      <c r="Z90" s="66"/>
      <c r="AA90" s="66"/>
      <c r="AB90" s="66"/>
      <c r="AC90" s="66"/>
      <c r="AD90" s="66"/>
      <c r="AE90" s="66"/>
      <c r="AF90" s="66"/>
      <c r="AG90" s="66"/>
    </row>
    <row r="91" spans="2:33" x14ac:dyDescent="0.55000000000000004">
      <c r="B91" s="66"/>
      <c r="C91" s="66"/>
      <c r="D91" s="66"/>
      <c r="E91" s="66"/>
      <c r="F91" s="66"/>
      <c r="G91" s="66"/>
      <c r="H91" s="66"/>
      <c r="I91" s="66"/>
      <c r="J91" s="66"/>
      <c r="K91" s="66"/>
      <c r="L91" s="66"/>
      <c r="M91" s="66"/>
      <c r="N91" s="66"/>
      <c r="O91" s="66"/>
      <c r="P91" s="66"/>
      <c r="Q91" s="66"/>
      <c r="R91" s="66"/>
      <c r="S91" s="66"/>
      <c r="T91" s="66"/>
      <c r="U91" s="66"/>
      <c r="V91" s="66"/>
      <c r="W91" s="66"/>
      <c r="X91" s="66"/>
      <c r="Y91" s="66"/>
      <c r="Z91" s="66"/>
      <c r="AA91" s="66"/>
      <c r="AB91" s="66"/>
      <c r="AC91" s="66"/>
      <c r="AD91" s="66"/>
      <c r="AE91" s="66"/>
      <c r="AF91" s="66"/>
      <c r="AG91" s="66"/>
    </row>
    <row r="92" spans="2:33" x14ac:dyDescent="0.55000000000000004">
      <c r="B92" s="66"/>
      <c r="C92" s="66"/>
      <c r="D92" s="66"/>
      <c r="E92" s="66"/>
      <c r="F92" s="66"/>
      <c r="G92" s="66"/>
      <c r="H92" s="66"/>
      <c r="I92" s="66"/>
      <c r="J92" s="66"/>
      <c r="K92" s="66"/>
      <c r="L92" s="66"/>
      <c r="M92" s="66"/>
      <c r="N92" s="66"/>
      <c r="O92" s="66"/>
      <c r="P92" s="66"/>
      <c r="Q92" s="66"/>
      <c r="R92" s="66"/>
      <c r="S92" s="66"/>
      <c r="T92" s="66"/>
      <c r="U92" s="66"/>
      <c r="V92" s="66"/>
      <c r="W92" s="66"/>
      <c r="X92" s="66"/>
      <c r="Y92" s="66"/>
      <c r="Z92" s="66"/>
      <c r="AA92" s="66"/>
      <c r="AB92" s="66"/>
      <c r="AC92" s="66"/>
      <c r="AD92" s="66"/>
      <c r="AE92" s="66"/>
      <c r="AF92" s="66"/>
      <c r="AG92" s="66"/>
    </row>
    <row r="93" spans="2:33" x14ac:dyDescent="0.55000000000000004">
      <c r="B93" s="66"/>
      <c r="C93" s="66"/>
      <c r="D93" s="66"/>
      <c r="E93" s="66"/>
      <c r="F93" s="66"/>
      <c r="G93" s="66"/>
      <c r="H93" s="66"/>
      <c r="I93" s="66"/>
      <c r="J93" s="66"/>
      <c r="K93" s="66"/>
      <c r="L93" s="66"/>
      <c r="M93" s="66"/>
      <c r="N93" s="66"/>
      <c r="O93" s="66"/>
      <c r="P93" s="66"/>
      <c r="Q93" s="66"/>
      <c r="R93" s="66"/>
      <c r="S93" s="66"/>
      <c r="T93" s="66"/>
      <c r="U93" s="66"/>
      <c r="V93" s="66"/>
      <c r="W93" s="66"/>
      <c r="X93" s="66"/>
      <c r="Y93" s="66"/>
      <c r="Z93" s="66"/>
      <c r="AA93" s="66"/>
      <c r="AB93" s="66"/>
      <c r="AC93" s="66"/>
      <c r="AD93" s="66"/>
      <c r="AE93" s="66"/>
      <c r="AF93" s="66"/>
      <c r="AG93" s="66"/>
    </row>
    <row r="94" spans="2:33" x14ac:dyDescent="0.55000000000000004">
      <c r="B94" s="66"/>
      <c r="C94" s="66"/>
      <c r="D94" s="66"/>
      <c r="E94" s="66"/>
      <c r="F94" s="66"/>
      <c r="G94" s="66"/>
      <c r="H94" s="66"/>
      <c r="I94" s="66"/>
      <c r="J94" s="66"/>
      <c r="K94" s="66"/>
      <c r="L94" s="66"/>
      <c r="M94" s="66"/>
      <c r="N94" s="66"/>
      <c r="O94" s="66"/>
      <c r="P94" s="66"/>
      <c r="Q94" s="66"/>
      <c r="R94" s="66"/>
      <c r="S94" s="66"/>
      <c r="T94" s="66"/>
      <c r="U94" s="66"/>
      <c r="V94" s="66"/>
      <c r="W94" s="66"/>
      <c r="X94" s="66"/>
      <c r="Y94" s="66"/>
      <c r="Z94" s="66"/>
      <c r="AA94" s="66"/>
      <c r="AB94" s="66"/>
      <c r="AC94" s="66"/>
      <c r="AD94" s="66"/>
      <c r="AE94" s="66"/>
      <c r="AF94" s="66"/>
      <c r="AG94" s="66"/>
    </row>
    <row r="95" spans="2:33" x14ac:dyDescent="0.55000000000000004">
      <c r="B95" s="66"/>
      <c r="C95" s="66"/>
      <c r="D95" s="66"/>
      <c r="E95" s="66"/>
      <c r="F95" s="66"/>
      <c r="G95" s="66"/>
      <c r="H95" s="66"/>
      <c r="I95" s="66"/>
      <c r="J95" s="66"/>
      <c r="K95" s="66"/>
      <c r="L95" s="66"/>
      <c r="M95" s="66"/>
      <c r="N95" s="66"/>
      <c r="O95" s="66"/>
      <c r="P95" s="66"/>
      <c r="Q95" s="66"/>
      <c r="R95" s="66"/>
      <c r="S95" s="66"/>
      <c r="T95" s="66"/>
      <c r="U95" s="66"/>
      <c r="V95" s="66"/>
      <c r="W95" s="66"/>
      <c r="X95" s="66"/>
      <c r="Y95" s="66"/>
      <c r="Z95" s="66"/>
      <c r="AA95" s="66"/>
      <c r="AB95" s="66"/>
      <c r="AC95" s="66"/>
      <c r="AD95" s="66"/>
      <c r="AE95" s="66"/>
      <c r="AF95" s="66"/>
      <c r="AG95" s="66"/>
    </row>
    <row r="96" spans="2:33" x14ac:dyDescent="0.55000000000000004">
      <c r="B96" s="66"/>
      <c r="C96" s="66"/>
      <c r="D96" s="66"/>
      <c r="E96" s="66"/>
      <c r="F96" s="66"/>
      <c r="G96" s="66"/>
      <c r="H96" s="66"/>
      <c r="I96" s="66"/>
      <c r="J96" s="66"/>
      <c r="K96" s="66"/>
      <c r="L96" s="66"/>
      <c r="M96" s="66"/>
      <c r="N96" s="66"/>
      <c r="O96" s="66"/>
      <c r="P96" s="66"/>
      <c r="Q96" s="66"/>
      <c r="R96" s="66"/>
      <c r="S96" s="66"/>
      <c r="T96" s="66"/>
      <c r="U96" s="66"/>
      <c r="V96" s="66"/>
      <c r="W96" s="66"/>
      <c r="X96" s="66"/>
      <c r="Y96" s="66"/>
      <c r="Z96" s="66"/>
      <c r="AA96" s="66"/>
      <c r="AB96" s="66"/>
      <c r="AC96" s="66"/>
      <c r="AD96" s="66"/>
      <c r="AE96" s="66"/>
      <c r="AF96" s="66"/>
      <c r="AG96" s="66"/>
    </row>
    <row r="97" spans="2:33" x14ac:dyDescent="0.55000000000000004">
      <c r="B97" s="66"/>
      <c r="C97" s="66"/>
      <c r="D97" s="66"/>
      <c r="E97" s="66"/>
      <c r="F97" s="66"/>
      <c r="G97" s="66"/>
      <c r="H97" s="66"/>
      <c r="I97" s="66"/>
      <c r="J97" s="66"/>
      <c r="K97" s="66"/>
      <c r="L97" s="66"/>
      <c r="M97" s="66"/>
      <c r="N97" s="66"/>
      <c r="O97" s="66"/>
      <c r="P97" s="66"/>
      <c r="Q97" s="66"/>
      <c r="R97" s="66"/>
      <c r="S97" s="66"/>
      <c r="T97" s="66"/>
      <c r="U97" s="66"/>
      <c r="V97" s="66"/>
      <c r="W97" s="66"/>
      <c r="X97" s="66"/>
      <c r="Y97" s="66"/>
      <c r="Z97" s="66"/>
      <c r="AA97" s="66"/>
      <c r="AB97" s="66"/>
      <c r="AC97" s="66"/>
      <c r="AD97" s="66"/>
      <c r="AE97" s="66"/>
      <c r="AF97" s="66"/>
      <c r="AG97" s="66"/>
    </row>
    <row r="98" spans="2:33" x14ac:dyDescent="0.55000000000000004">
      <c r="B98" s="66"/>
      <c r="C98" s="66"/>
      <c r="D98" s="66"/>
      <c r="E98" s="66"/>
      <c r="F98" s="66"/>
      <c r="G98" s="66"/>
      <c r="H98" s="66"/>
      <c r="I98" s="66"/>
      <c r="J98" s="66"/>
      <c r="K98" s="66"/>
      <c r="L98" s="66"/>
      <c r="M98" s="66"/>
      <c r="N98" s="66"/>
      <c r="O98" s="66"/>
      <c r="P98" s="66"/>
      <c r="Q98" s="66"/>
      <c r="R98" s="66"/>
      <c r="S98" s="66"/>
      <c r="T98" s="66"/>
      <c r="U98" s="66"/>
      <c r="V98" s="66"/>
      <c r="W98" s="66"/>
      <c r="X98" s="66"/>
      <c r="Y98" s="66"/>
      <c r="Z98" s="66"/>
      <c r="AA98" s="66"/>
      <c r="AB98" s="66"/>
      <c r="AC98" s="66"/>
      <c r="AD98" s="66"/>
      <c r="AE98" s="66"/>
      <c r="AF98" s="66"/>
      <c r="AG98" s="66"/>
    </row>
    <row r="99" spans="2:33" x14ac:dyDescent="0.55000000000000004">
      <c r="B99" s="66"/>
      <c r="C99" s="66"/>
      <c r="D99" s="66"/>
      <c r="E99" s="66"/>
      <c r="F99" s="66"/>
      <c r="G99" s="66"/>
      <c r="H99" s="66"/>
      <c r="I99" s="66"/>
      <c r="J99" s="66"/>
      <c r="K99" s="66"/>
      <c r="L99" s="66"/>
      <c r="M99" s="66"/>
      <c r="N99" s="66"/>
      <c r="O99" s="66"/>
      <c r="P99" s="66"/>
      <c r="Q99" s="66"/>
      <c r="R99" s="66"/>
      <c r="S99" s="66"/>
      <c r="T99" s="66"/>
      <c r="U99" s="66"/>
      <c r="V99" s="66"/>
      <c r="W99" s="66"/>
      <c r="X99" s="66"/>
      <c r="Y99" s="66"/>
      <c r="Z99" s="66"/>
      <c r="AA99" s="66"/>
      <c r="AB99" s="66"/>
      <c r="AC99" s="66"/>
      <c r="AD99" s="66"/>
      <c r="AE99" s="66"/>
      <c r="AF99" s="66"/>
      <c r="AG99" s="66"/>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0E3B8A-0E6D-449A-A0F8-5A27973A6419}">
  <dimension ref="B1:K44"/>
  <sheetViews>
    <sheetView showGridLines="0" topLeftCell="A12" zoomScale="77" workbookViewId="0">
      <selection activeCell="B25" sqref="B25:E44"/>
    </sheetView>
  </sheetViews>
  <sheetFormatPr defaultRowHeight="14.4" x14ac:dyDescent="0.55000000000000004"/>
  <cols>
    <col min="2" max="2" width="19.05078125" customWidth="1"/>
    <col min="3" max="3" width="32.5234375" customWidth="1"/>
    <col min="4" max="12" width="9.9453125" customWidth="1"/>
  </cols>
  <sheetData>
    <row r="1" spans="2:11" x14ac:dyDescent="0.55000000000000004">
      <c r="J1" t="s">
        <v>633</v>
      </c>
      <c r="K1" t="s">
        <v>633</v>
      </c>
    </row>
    <row r="2" spans="2:11" x14ac:dyDescent="0.55000000000000004">
      <c r="C2" s="288" t="s">
        <v>1133</v>
      </c>
      <c r="D2" s="288" t="s">
        <v>338</v>
      </c>
      <c r="E2" s="288" t="s">
        <v>144</v>
      </c>
      <c r="F2" s="288" t="s">
        <v>690</v>
      </c>
      <c r="H2" s="108" t="s">
        <v>692</v>
      </c>
      <c r="I2" s="108" t="s">
        <v>692</v>
      </c>
      <c r="J2" s="108" t="s">
        <v>692</v>
      </c>
      <c r="K2" s="108" t="s">
        <v>692</v>
      </c>
    </row>
    <row r="3" spans="2:11" x14ac:dyDescent="0.55000000000000004">
      <c r="B3" s="110"/>
      <c r="C3" s="111" t="s">
        <v>339</v>
      </c>
      <c r="D3" s="111" t="s">
        <v>688</v>
      </c>
      <c r="E3" s="111" t="s">
        <v>688</v>
      </c>
      <c r="F3" s="111" t="s">
        <v>688</v>
      </c>
      <c r="H3" t="str">
        <f>C3</f>
        <v>Q3 24</v>
      </c>
      <c r="I3" t="s">
        <v>688</v>
      </c>
      <c r="J3" t="str">
        <f>H3</f>
        <v>Q3 24</v>
      </c>
      <c r="K3" t="str">
        <f>I3</f>
        <v>FY 2024</v>
      </c>
    </row>
    <row r="4" spans="2:11" x14ac:dyDescent="0.55000000000000004">
      <c r="B4" t="s">
        <v>179</v>
      </c>
      <c r="C4">
        <v>2220</v>
      </c>
      <c r="D4">
        <v>8890</v>
      </c>
      <c r="E4">
        <v>8780</v>
      </c>
      <c r="F4">
        <v>8650</v>
      </c>
      <c r="H4" s="114">
        <f>Interims!R60</f>
        <v>2238.798224142593</v>
      </c>
      <c r="I4" s="114">
        <f>Master!I54</f>
        <v>8897.4089385755287</v>
      </c>
      <c r="J4" s="112">
        <f>H4/C4-1</f>
        <v>8.4676685326996459E-3</v>
      </c>
      <c r="K4" s="112">
        <f>I4/D4-1</f>
        <v>8.3340141457011185E-4</v>
      </c>
    </row>
    <row r="5" spans="2:11" x14ac:dyDescent="0.55000000000000004">
      <c r="B5" t="s">
        <v>279</v>
      </c>
      <c r="C5" s="113">
        <v>0.17</v>
      </c>
    </row>
    <row r="6" spans="2:11" x14ac:dyDescent="0.55000000000000004">
      <c r="B6" t="s">
        <v>80</v>
      </c>
      <c r="C6">
        <v>695</v>
      </c>
      <c r="D6">
        <v>2900</v>
      </c>
      <c r="E6">
        <v>2760</v>
      </c>
      <c r="F6">
        <v>2630</v>
      </c>
      <c r="H6" s="114"/>
      <c r="I6" s="114">
        <f>Master!I94</f>
        <v>2907.8572467414378</v>
      </c>
    </row>
    <row r="7" spans="2:11" x14ac:dyDescent="0.55000000000000004">
      <c r="B7" t="s">
        <v>689</v>
      </c>
      <c r="C7">
        <v>31</v>
      </c>
      <c r="D7" s="113">
        <f>D6/D4</f>
        <v>0.32620922384701911</v>
      </c>
      <c r="E7" s="113">
        <f>E6/E4</f>
        <v>0.31435079726651483</v>
      </c>
      <c r="F7" s="113">
        <f>F6/F4</f>
        <v>0.30404624277456649</v>
      </c>
    </row>
    <row r="8" spans="2:11" x14ac:dyDescent="0.55000000000000004">
      <c r="E8" s="113"/>
      <c r="F8" s="113"/>
    </row>
    <row r="9" spans="2:11" x14ac:dyDescent="0.55000000000000004">
      <c r="B9" t="s">
        <v>691</v>
      </c>
      <c r="C9">
        <f>C4-C10</f>
        <v>1900</v>
      </c>
      <c r="D9">
        <f>D4-D10</f>
        <v>7450</v>
      </c>
      <c r="E9">
        <f>E4-E10</f>
        <v>7480</v>
      </c>
      <c r="F9">
        <f>F4-F10</f>
        <v>7500</v>
      </c>
      <c r="H9" s="114">
        <f>H4-H10</f>
        <v>1908.798224142593</v>
      </c>
      <c r="I9" s="114">
        <f>I4-I10</f>
        <v>7451.3024887628671</v>
      </c>
      <c r="J9" s="112">
        <f>H9/C9-1</f>
        <v>4.6306442855752472E-3</v>
      </c>
      <c r="K9" s="112">
        <f>I9/D9-1</f>
        <v>1.7483070642509979E-4</v>
      </c>
    </row>
    <row r="10" spans="2:11" x14ac:dyDescent="0.55000000000000004">
      <c r="B10" t="s">
        <v>615</v>
      </c>
      <c r="C10">
        <v>320</v>
      </c>
      <c r="D10">
        <v>1440</v>
      </c>
      <c r="E10">
        <v>1300</v>
      </c>
      <c r="F10">
        <v>1150</v>
      </c>
      <c r="H10" s="114">
        <f>Interims!R93</f>
        <v>330</v>
      </c>
      <c r="I10" s="114">
        <f>Master!I87</f>
        <v>1446.1064498126616</v>
      </c>
      <c r="J10" s="112">
        <f>H10/C10-1</f>
        <v>3.125E-2</v>
      </c>
      <c r="K10" s="112">
        <f>I10/D10-1</f>
        <v>4.2405901476816332E-3</v>
      </c>
    </row>
    <row r="11" spans="2:11" x14ac:dyDescent="0.55000000000000004">
      <c r="B11" t="s">
        <v>689</v>
      </c>
      <c r="C11" s="113">
        <v>0.14000000000000001</v>
      </c>
      <c r="D11" s="113">
        <f>D10/D4</f>
        <v>0.16197975253093364</v>
      </c>
      <c r="E11" s="113">
        <f>E10/E4</f>
        <v>0.1480637813211845</v>
      </c>
      <c r="F11" s="113">
        <f>F10/F4</f>
        <v>0.13294797687861271</v>
      </c>
      <c r="H11" s="113">
        <f>H10/H4</f>
        <v>0.14740050998851503</v>
      </c>
    </row>
    <row r="14" spans="2:11" x14ac:dyDescent="0.55000000000000004">
      <c r="C14" s="89">
        <v>2022</v>
      </c>
      <c r="D14" s="89">
        <f>Master!H2</f>
        <v>2023</v>
      </c>
      <c r="E14" s="89" t="s">
        <v>880</v>
      </c>
    </row>
    <row r="15" spans="2:11" x14ac:dyDescent="0.55000000000000004">
      <c r="B15" t="s">
        <v>878</v>
      </c>
      <c r="C15" s="114">
        <f>Master!G90</f>
        <v>6137.3</v>
      </c>
      <c r="D15" s="114">
        <f>Master!H90</f>
        <v>7153.5350000000008</v>
      </c>
      <c r="E15" s="114">
        <f>D9</f>
        <v>7450</v>
      </c>
    </row>
    <row r="16" spans="2:11" x14ac:dyDescent="0.55000000000000004">
      <c r="B16" s="163" t="s">
        <v>881</v>
      </c>
      <c r="C16" s="114">
        <f>Master!G68</f>
        <v>550.68299999999999</v>
      </c>
      <c r="D16" s="114">
        <f>Master!H68</f>
        <v>660.66300000000001</v>
      </c>
      <c r="E16" s="114">
        <f>Master!I68</f>
        <v>780</v>
      </c>
    </row>
    <row r="18" spans="2:6" x14ac:dyDescent="0.55000000000000004">
      <c r="B18" t="s">
        <v>1025</v>
      </c>
    </row>
    <row r="19" spans="2:6" x14ac:dyDescent="0.55000000000000004">
      <c r="B19" t="s">
        <v>685</v>
      </c>
      <c r="C19" t="s">
        <v>1026</v>
      </c>
    </row>
    <row r="20" spans="2:6" x14ac:dyDescent="0.55000000000000004">
      <c r="B20" t="s">
        <v>1024</v>
      </c>
      <c r="C20" t="str">
        <f>Interims!P240</f>
        <v>Q1 24</v>
      </c>
      <c r="D20" t="str">
        <f>Interims!Q240</f>
        <v>Q2 24</v>
      </c>
      <c r="E20" t="str">
        <f>Interims!R240</f>
        <v>Q3 24e</v>
      </c>
      <c r="F20" t="str">
        <f>Interims!S240</f>
        <v>Q4 24e</v>
      </c>
    </row>
    <row r="21" spans="2:6" x14ac:dyDescent="0.55000000000000004">
      <c r="C21" s="113">
        <f>Interims!AG255</f>
        <v>0.24612309075462857</v>
      </c>
      <c r="D21" s="113">
        <f>Interims!AH255</f>
        <v>0.23440322726257601</v>
      </c>
      <c r="E21" s="113">
        <f>Interims!AI255</f>
        <v>0.20806471913888069</v>
      </c>
      <c r="F21" s="113">
        <f>Interims!AJ255</f>
        <v>0.15654160573862619</v>
      </c>
    </row>
    <row r="22" spans="2:6" x14ac:dyDescent="0.55000000000000004">
      <c r="C22" t="s">
        <v>1027</v>
      </c>
    </row>
    <row r="23" spans="2:6" x14ac:dyDescent="0.55000000000000004">
      <c r="C23" s="113">
        <f>Interims!AG204</f>
        <v>0.18611662600985301</v>
      </c>
      <c r="D23" s="113">
        <f>Interims!AH204</f>
        <v>0.14744544067221121</v>
      </c>
      <c r="E23" s="113">
        <f>Interims!AI204</f>
        <v>0.14314951675539778</v>
      </c>
      <c r="F23" s="113">
        <f>Interims!AJ204</f>
        <v>0.13534709726335237</v>
      </c>
    </row>
    <row r="25" spans="2:6" x14ac:dyDescent="0.55000000000000004">
      <c r="B25" s="110" t="s">
        <v>283</v>
      </c>
      <c r="C25" s="111" t="s">
        <v>685</v>
      </c>
      <c r="D25" s="111" t="s">
        <v>1185</v>
      </c>
      <c r="E25" s="111" t="s">
        <v>1276</v>
      </c>
    </row>
    <row r="26" spans="2:6" x14ac:dyDescent="0.55000000000000004">
      <c r="B26" s="367" t="s">
        <v>1183</v>
      </c>
      <c r="C26" s="368"/>
      <c r="D26" s="368"/>
      <c r="E26" s="368"/>
    </row>
    <row r="27" spans="2:6" x14ac:dyDescent="0.55000000000000004">
      <c r="B27" s="163" t="s">
        <v>1184</v>
      </c>
      <c r="C27" s="114">
        <f>C4</f>
        <v>2220</v>
      </c>
      <c r="D27" s="114">
        <f>H4</f>
        <v>2238.798224142593</v>
      </c>
      <c r="E27" s="114">
        <f>Consensus!P7</f>
        <v>2234.3440490307066</v>
      </c>
    </row>
    <row r="28" spans="2:6" x14ac:dyDescent="0.55000000000000004">
      <c r="B28" s="369" t="s">
        <v>1225</v>
      </c>
      <c r="C28" s="370">
        <f>C6</f>
        <v>695</v>
      </c>
      <c r="D28" s="370">
        <f>Interims!R138</f>
        <v>714</v>
      </c>
      <c r="E28" s="371"/>
    </row>
    <row r="29" spans="2:6" x14ac:dyDescent="0.55000000000000004">
      <c r="B29" s="163" t="s">
        <v>1186</v>
      </c>
      <c r="C29" s="114">
        <f>C10</f>
        <v>320</v>
      </c>
      <c r="D29" s="114">
        <f>H10</f>
        <v>330</v>
      </c>
      <c r="E29" s="114">
        <f>Consensus!P37</f>
        <v>324.68207994013557</v>
      </c>
    </row>
    <row r="30" spans="2:6" x14ac:dyDescent="0.55000000000000004">
      <c r="B30" s="369" t="s">
        <v>171</v>
      </c>
      <c r="C30" s="371">
        <f>C29/C27</f>
        <v>0.14414414414414414</v>
      </c>
      <c r="D30" s="371">
        <f>D29/D27</f>
        <v>0.14740050998851503</v>
      </c>
      <c r="E30" s="371">
        <f>E29/E27</f>
        <v>0.14531427247338552</v>
      </c>
    </row>
    <row r="32" spans="2:6" x14ac:dyDescent="0.55000000000000004">
      <c r="B32" s="367" t="s">
        <v>1113</v>
      </c>
      <c r="C32" s="254"/>
      <c r="D32" s="254"/>
      <c r="E32" s="254"/>
    </row>
    <row r="33" spans="2:5" x14ac:dyDescent="0.55000000000000004">
      <c r="B33" t="s">
        <v>163</v>
      </c>
      <c r="C33" s="287" t="s">
        <v>1189</v>
      </c>
      <c r="D33" s="113">
        <f>(Interims!R30+Interims!S30)/(Interims!N30+Interims!O30)-1</f>
        <v>0.18109274528590369</v>
      </c>
      <c r="E33" s="113">
        <f>(Consensus!R26-Consensus!N26-Consensus!O26)/(Interims!N30+Interims!O30)-1</f>
        <v>0.18825249533084176</v>
      </c>
    </row>
    <row r="34" spans="2:5" x14ac:dyDescent="0.55000000000000004">
      <c r="B34" s="254" t="s">
        <v>162</v>
      </c>
      <c r="C34" s="372" t="s">
        <v>1190</v>
      </c>
      <c r="D34" s="260">
        <f>(Interims!R13+Interims!S13)/(Interims!N13+Interims!O13)-1</f>
        <v>0.13919484454164288</v>
      </c>
      <c r="E34" s="260">
        <f>(Consensus!P14+Consensus!Q14)/(Interims!N13+Interims!O13)-1</f>
        <v>0.13949417554320176</v>
      </c>
    </row>
    <row r="35" spans="2:5" x14ac:dyDescent="0.55000000000000004">
      <c r="B35" s="108"/>
    </row>
    <row r="36" spans="2:5" x14ac:dyDescent="0.55000000000000004">
      <c r="B36" s="367" t="s">
        <v>688</v>
      </c>
      <c r="C36" s="254"/>
      <c r="D36" s="254"/>
      <c r="E36" s="254"/>
    </row>
    <row r="37" spans="2:5" x14ac:dyDescent="0.55000000000000004">
      <c r="B37" s="163" t="str">
        <f>B27</f>
        <v xml:space="preserve"> Gross profit</v>
      </c>
      <c r="C37" s="114">
        <f>D4</f>
        <v>8890</v>
      </c>
      <c r="D37" s="114">
        <f>I4</f>
        <v>8897.4089385755287</v>
      </c>
      <c r="E37" s="114">
        <f>Consensus!R7</f>
        <v>8915.7439789598757</v>
      </c>
    </row>
    <row r="38" spans="2:5" x14ac:dyDescent="0.55000000000000004">
      <c r="B38" s="369" t="s">
        <v>1225</v>
      </c>
      <c r="C38" s="370">
        <f>D6</f>
        <v>2900</v>
      </c>
      <c r="D38" s="370">
        <f>I6</f>
        <v>2907.8572467414378</v>
      </c>
      <c r="E38" s="370"/>
    </row>
    <row r="39" spans="2:5" x14ac:dyDescent="0.55000000000000004">
      <c r="B39" s="163" t="str">
        <f>B29</f>
        <v xml:space="preserve"> Adj operating income</v>
      </c>
      <c r="C39" s="114">
        <f>D10</f>
        <v>1440</v>
      </c>
      <c r="D39" s="114">
        <f>I10</f>
        <v>1446.1064498126616</v>
      </c>
      <c r="E39" s="114">
        <f>Consensus!R37</f>
        <v>1447.2171147678589</v>
      </c>
    </row>
    <row r="40" spans="2:5" x14ac:dyDescent="0.55000000000000004">
      <c r="B40" s="369" t="s">
        <v>171</v>
      </c>
      <c r="C40" s="371">
        <f>C39/C37</f>
        <v>0.16197975253093364</v>
      </c>
      <c r="D40" s="371">
        <f>D39/D37</f>
        <v>0.16253118855118989</v>
      </c>
      <c r="E40" s="371">
        <f>E39/E37</f>
        <v>0.16232152001931907</v>
      </c>
    </row>
    <row r="41" spans="2:5" x14ac:dyDescent="0.55000000000000004">
      <c r="B41" s="163" t="s">
        <v>323</v>
      </c>
      <c r="C41" s="112">
        <v>0.35</v>
      </c>
      <c r="D41" s="112">
        <f>Master!I92</f>
        <v>0.34808003480621996</v>
      </c>
      <c r="E41" s="112">
        <f>Consensus!R40</f>
        <v>0.35031344674010811</v>
      </c>
    </row>
    <row r="42" spans="2:5" x14ac:dyDescent="0.55000000000000004">
      <c r="B42" s="254"/>
      <c r="C42" s="254"/>
      <c r="D42" s="254"/>
      <c r="E42" s="254"/>
    </row>
    <row r="43" spans="2:5" x14ac:dyDescent="0.55000000000000004">
      <c r="B43" s="108" t="s">
        <v>1187</v>
      </c>
    </row>
    <row r="44" spans="2:5" x14ac:dyDescent="0.55000000000000004">
      <c r="B44" s="373" t="s">
        <v>323</v>
      </c>
      <c r="C44" s="374" t="s">
        <v>1188</v>
      </c>
      <c r="D44" s="375">
        <f>Consensus!J40</f>
        <v>0.36923868160607698</v>
      </c>
      <c r="E44" s="375">
        <f>Consensus!T40</f>
        <v>0.37534935995738156</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B77F3-B089-4CE8-9DC2-C31417EEDDAD}">
  <dimension ref="A1"/>
  <sheetViews>
    <sheetView workbookViewId="0"/>
  </sheetViews>
  <sheetFormatPr defaultRowHeight="14.4" x14ac:dyDescent="0.55000000000000004"/>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C88F3-E9E5-4E54-9A5C-D62814091FEB}">
  <dimension ref="B2:U588"/>
  <sheetViews>
    <sheetView topLeftCell="A291" zoomScale="73" workbookViewId="0">
      <selection activeCell="L52" sqref="L52"/>
    </sheetView>
  </sheetViews>
  <sheetFormatPr defaultRowHeight="14.4" x14ac:dyDescent="0.55000000000000004"/>
  <cols>
    <col min="2" max="2" width="34.734375" customWidth="1"/>
    <col min="3" max="5" width="12.578125" customWidth="1"/>
  </cols>
  <sheetData>
    <row r="2" spans="2:17" x14ac:dyDescent="0.55000000000000004">
      <c r="B2" s="87"/>
      <c r="C2" s="205" t="str">
        <f>Interims!H2</f>
        <v>Q1 22</v>
      </c>
      <c r="D2" s="205" t="str">
        <f>Interims!I2</f>
        <v>Q2 22</v>
      </c>
      <c r="E2" s="205" t="str">
        <f>Interims!J2</f>
        <v>Q3 22</v>
      </c>
      <c r="F2" s="205" t="str">
        <f>Interims!K2</f>
        <v>Q4 22</v>
      </c>
      <c r="G2" s="205" t="str">
        <f>Interims!L2</f>
        <v>Q1 23</v>
      </c>
      <c r="H2" s="205" t="str">
        <f>Interims!M2</f>
        <v>Q2 23</v>
      </c>
      <c r="I2" s="205" t="str">
        <f>Interims!N2</f>
        <v>Q3 23</v>
      </c>
      <c r="J2" s="205" t="str">
        <f>Interims!O2</f>
        <v>Q4 23</v>
      </c>
      <c r="K2" s="205" t="str">
        <f>Interims!P2</f>
        <v>Q1 24</v>
      </c>
      <c r="L2" s="205" t="str">
        <f>Interims!Q2</f>
        <v>Q2 24</v>
      </c>
    </row>
    <row r="3" spans="2:17" x14ac:dyDescent="0.55000000000000004">
      <c r="B3" s="66" t="s">
        <v>179</v>
      </c>
      <c r="C3" s="134">
        <f>Interims!Y60</f>
        <v>0.34401660612350815</v>
      </c>
      <c r="D3" s="134">
        <f>Interims!Z60</f>
        <v>0.28796168491716068</v>
      </c>
      <c r="E3" s="134">
        <f>Interims!AA60</f>
        <v>0.38286997612986062</v>
      </c>
      <c r="F3" s="134">
        <f>Interims!AB60</f>
        <v>0.40451439119760546</v>
      </c>
      <c r="G3" s="134">
        <f>Interims!AC60</f>
        <v>0.32404398591462291</v>
      </c>
      <c r="H3" s="134">
        <f>Interims!AD60</f>
        <v>0.26976051408228385</v>
      </c>
      <c r="I3" s="134">
        <f>Interims!AE60</f>
        <v>0.21144938162414517</v>
      </c>
      <c r="J3" s="134">
        <f>Interims!AF60</f>
        <v>0.22018919464279807</v>
      </c>
      <c r="K3" s="134">
        <f>Interims!AG60</f>
        <v>0.22156336464121895</v>
      </c>
      <c r="L3" s="134">
        <f>Interims!AH60</f>
        <v>0.19686983716315454</v>
      </c>
    </row>
    <row r="4" spans="2:17" x14ac:dyDescent="0.55000000000000004">
      <c r="B4" s="66"/>
      <c r="C4" s="66"/>
      <c r="D4" s="66"/>
      <c r="E4" s="66"/>
      <c r="F4" s="66"/>
      <c r="G4" s="66"/>
      <c r="H4" s="66"/>
      <c r="I4" s="66"/>
      <c r="J4" s="66"/>
      <c r="K4" s="66"/>
      <c r="L4" s="66"/>
    </row>
    <row r="5" spans="2:17" x14ac:dyDescent="0.55000000000000004">
      <c r="B5" s="68" t="s">
        <v>714</v>
      </c>
      <c r="C5" s="223">
        <v>45017</v>
      </c>
      <c r="D5" s="223">
        <v>45047</v>
      </c>
      <c r="E5" s="223">
        <v>45078</v>
      </c>
      <c r="F5" s="223">
        <v>45108</v>
      </c>
      <c r="G5" s="223">
        <v>45139</v>
      </c>
      <c r="H5" s="223">
        <v>45170</v>
      </c>
      <c r="I5" s="223">
        <v>45200</v>
      </c>
      <c r="J5" s="223">
        <v>45231</v>
      </c>
      <c r="K5" s="223">
        <v>45261</v>
      </c>
      <c r="L5" s="223">
        <v>45292</v>
      </c>
      <c r="M5" s="223">
        <v>45323</v>
      </c>
      <c r="N5" s="223">
        <v>45352</v>
      </c>
      <c r="O5" s="223">
        <v>45383</v>
      </c>
      <c r="P5" s="223">
        <v>45413</v>
      </c>
      <c r="Q5" s="223">
        <v>45444</v>
      </c>
    </row>
    <row r="6" spans="2:17" x14ac:dyDescent="0.55000000000000004">
      <c r="B6" s="66" t="s">
        <v>715</v>
      </c>
      <c r="C6" s="66"/>
      <c r="D6" s="66"/>
      <c r="E6" s="212">
        <v>0.8</v>
      </c>
      <c r="F6" s="66"/>
      <c r="G6" s="66"/>
      <c r="H6" s="66">
        <v>1.25</v>
      </c>
      <c r="I6" s="66"/>
      <c r="J6" s="66"/>
      <c r="K6" s="212">
        <f>2.5</f>
        <v>2.5</v>
      </c>
      <c r="L6" s="66"/>
      <c r="N6" s="212">
        <f>N7*4</f>
        <v>3.2429378531073443</v>
      </c>
      <c r="Q6" s="212">
        <f>Q7*4</f>
        <v>3.8266666666666662</v>
      </c>
    </row>
    <row r="7" spans="2:17" x14ac:dyDescent="0.55000000000000004">
      <c r="B7" s="66" t="s">
        <v>921</v>
      </c>
      <c r="C7" s="66"/>
      <c r="D7" s="66"/>
      <c r="E7" s="212">
        <f>SUM(C10:E10)</f>
        <v>0.13666666666666666</v>
      </c>
      <c r="F7" s="66"/>
      <c r="G7" s="66"/>
      <c r="H7" s="212">
        <f>SUM(F10:H10)</f>
        <v>0.27416666666666667</v>
      </c>
      <c r="I7" s="66"/>
      <c r="J7" s="66"/>
      <c r="K7" s="212">
        <f>SUM(I10:K10)</f>
        <v>0.57833333333333337</v>
      </c>
      <c r="L7" s="66"/>
      <c r="N7" s="212">
        <f>Q7/1.18</f>
        <v>0.81073446327683607</v>
      </c>
      <c r="Q7" s="212">
        <f>E7*7</f>
        <v>0.95666666666666655</v>
      </c>
    </row>
    <row r="8" spans="2:17" x14ac:dyDescent="0.55000000000000004">
      <c r="B8" s="66" t="s">
        <v>922</v>
      </c>
      <c r="C8" s="66"/>
      <c r="D8" s="66"/>
      <c r="E8" s="212"/>
      <c r="F8" s="66"/>
      <c r="G8" s="66"/>
      <c r="H8" s="212"/>
      <c r="I8" s="66"/>
      <c r="J8" s="66"/>
      <c r="K8" s="134">
        <f>K7/H7-1</f>
        <v>1.1094224924012157</v>
      </c>
      <c r="L8" s="66"/>
      <c r="N8" s="134">
        <f>N7/K7-1</f>
        <v>0.40184633419625815</v>
      </c>
      <c r="Q8" s="134">
        <f>Q7/N7-1</f>
        <v>0.17999999999999994</v>
      </c>
    </row>
    <row r="9" spans="2:17" x14ac:dyDescent="0.55000000000000004">
      <c r="B9" s="66" t="s">
        <v>923</v>
      </c>
      <c r="C9" s="66"/>
      <c r="D9" s="66"/>
      <c r="E9" s="212"/>
      <c r="F9" s="66"/>
      <c r="G9" s="66"/>
      <c r="H9" s="212"/>
      <c r="I9" s="66"/>
      <c r="J9" s="66"/>
      <c r="K9" s="134"/>
      <c r="L9" s="66"/>
      <c r="N9" s="134"/>
      <c r="Q9" s="250">
        <f>Q7/E7</f>
        <v>7</v>
      </c>
    </row>
    <row r="10" spans="2:17" x14ac:dyDescent="0.55000000000000004">
      <c r="B10" s="66" t="s">
        <v>920</v>
      </c>
      <c r="C10" s="66">
        <v>0.03</v>
      </c>
      <c r="D10" s="66">
        <v>0.04</v>
      </c>
      <c r="E10" s="212">
        <f>E6/12</f>
        <v>6.6666666666666666E-2</v>
      </c>
      <c r="F10" s="212">
        <v>0.08</v>
      </c>
      <c r="G10" s="212">
        <v>0.09</v>
      </c>
      <c r="H10" s="212">
        <f>H6/12</f>
        <v>0.10416666666666667</v>
      </c>
      <c r="I10" s="212">
        <v>0.17</v>
      </c>
      <c r="J10" s="212">
        <v>0.2</v>
      </c>
      <c r="K10" s="212">
        <f>K6/12</f>
        <v>0.20833333333333334</v>
      </c>
      <c r="L10" s="133"/>
      <c r="N10" s="212"/>
      <c r="Q10" s="212"/>
    </row>
    <row r="11" spans="2:17" x14ac:dyDescent="0.55000000000000004">
      <c r="B11" s="66"/>
      <c r="C11" s="66"/>
      <c r="D11" s="66"/>
      <c r="E11" s="212"/>
      <c r="F11" s="212"/>
      <c r="G11" s="212"/>
      <c r="H11" s="212"/>
      <c r="I11" s="212"/>
      <c r="J11" s="212"/>
      <c r="K11" s="212"/>
      <c r="L11" s="133"/>
    </row>
    <row r="12" spans="2:17" x14ac:dyDescent="0.55000000000000004">
      <c r="B12" s="68" t="s">
        <v>769</v>
      </c>
      <c r="C12" s="68">
        <v>2021</v>
      </c>
      <c r="D12" s="68">
        <v>2022</v>
      </c>
      <c r="E12" s="68">
        <v>2023</v>
      </c>
      <c r="F12" s="212"/>
      <c r="G12" s="212"/>
      <c r="H12" s="212"/>
      <c r="I12" s="212"/>
      <c r="J12" s="212"/>
      <c r="K12" s="212"/>
      <c r="L12" s="133"/>
    </row>
    <row r="13" spans="2:17" x14ac:dyDescent="0.55000000000000004">
      <c r="B13" s="66" t="s">
        <v>771</v>
      </c>
      <c r="C13" s="66">
        <f>'Op Metrics - feeder'!AD64</f>
        <v>13</v>
      </c>
      <c r="D13" s="66">
        <v>19</v>
      </c>
      <c r="E13" s="66">
        <f>'Op Metrics - feeder'!AL64</f>
        <v>23</v>
      </c>
      <c r="F13" s="212"/>
      <c r="G13" s="212"/>
      <c r="H13" s="212"/>
      <c r="I13" s="212"/>
      <c r="J13" s="212"/>
      <c r="K13" s="212"/>
      <c r="L13" s="133"/>
    </row>
    <row r="14" spans="2:17" x14ac:dyDescent="0.55000000000000004">
      <c r="B14" s="66" t="s">
        <v>770</v>
      </c>
      <c r="C14" s="140">
        <v>75</v>
      </c>
      <c r="D14" s="140">
        <v>115</v>
      </c>
      <c r="E14" s="66">
        <v>160</v>
      </c>
      <c r="F14" s="212"/>
      <c r="G14" s="212"/>
      <c r="H14" s="212"/>
      <c r="I14" s="212"/>
      <c r="J14" s="212"/>
      <c r="K14" s="212"/>
      <c r="L14" s="133"/>
    </row>
    <row r="15" spans="2:17" x14ac:dyDescent="0.55000000000000004">
      <c r="B15" s="66" t="s">
        <v>772</v>
      </c>
      <c r="C15" s="140">
        <f>C14*1000/C13</f>
        <v>5769.2307692307695</v>
      </c>
      <c r="D15" s="140">
        <f>D14*1000/D13</f>
        <v>6052.6315789473683</v>
      </c>
      <c r="E15" s="140">
        <f>E14*1000/E13</f>
        <v>6956.521739130435</v>
      </c>
      <c r="F15" s="212"/>
      <c r="G15" s="212"/>
      <c r="H15" s="212"/>
      <c r="I15" s="212"/>
      <c r="J15" s="212"/>
      <c r="K15" s="133">
        <f>0.06*60</f>
        <v>3.5999999999999996</v>
      </c>
      <c r="L15" s="133"/>
    </row>
    <row r="16" spans="2:17" x14ac:dyDescent="0.55000000000000004">
      <c r="B16" s="66" t="s">
        <v>773</v>
      </c>
      <c r="C16" s="140">
        <f>C15/12</f>
        <v>480.76923076923077</v>
      </c>
      <c r="D16" s="140">
        <f>D15/12</f>
        <v>504.38596491228071</v>
      </c>
      <c r="E16" s="140">
        <f>E15/12</f>
        <v>579.71014492753625</v>
      </c>
      <c r="F16" s="212"/>
      <c r="G16" s="212"/>
      <c r="H16" s="212"/>
      <c r="I16" s="212"/>
      <c r="J16" s="212"/>
      <c r="K16" s="212"/>
      <c r="L16" s="133"/>
    </row>
    <row r="17" spans="2:12" x14ac:dyDescent="0.55000000000000004">
      <c r="B17" s="66" t="s">
        <v>774</v>
      </c>
      <c r="C17" s="135">
        <v>7.0000000000000001E-3</v>
      </c>
      <c r="D17" s="135">
        <v>7.1999999999999998E-3</v>
      </c>
      <c r="E17" s="135">
        <v>7.7999999999999996E-3</v>
      </c>
      <c r="G17" s="212"/>
      <c r="H17" s="212" t="s">
        <v>863</v>
      </c>
      <c r="I17" s="212"/>
      <c r="J17" s="212"/>
      <c r="K17" s="212" t="s">
        <v>786</v>
      </c>
      <c r="L17" s="133" t="s">
        <v>163</v>
      </c>
    </row>
    <row r="18" spans="2:12" x14ac:dyDescent="0.55000000000000004">
      <c r="B18" s="66" t="s">
        <v>914</v>
      </c>
      <c r="C18" s="140">
        <f>C14*C17*1000</f>
        <v>525</v>
      </c>
      <c r="D18" s="140">
        <f>D14*D17*1000</f>
        <v>828</v>
      </c>
      <c r="E18" s="140">
        <f>E14*E17*1000</f>
        <v>1248</v>
      </c>
      <c r="F18" s="212"/>
      <c r="G18" s="212"/>
      <c r="H18" s="212"/>
      <c r="I18" s="212"/>
      <c r="J18" s="212" t="s">
        <v>887</v>
      </c>
      <c r="K18" s="140">
        <f>K15/24*L18</f>
        <v>187.2</v>
      </c>
      <c r="L18" s="140">
        <f>E18</f>
        <v>1248</v>
      </c>
    </row>
    <row r="19" spans="2:12" x14ac:dyDescent="0.55000000000000004">
      <c r="B19" s="66"/>
      <c r="C19" s="66"/>
      <c r="D19" s="66"/>
      <c r="E19" s="212"/>
      <c r="F19" s="212"/>
      <c r="G19" s="212"/>
      <c r="H19" s="212"/>
      <c r="I19" s="212"/>
      <c r="J19" s="212"/>
      <c r="K19" s="212"/>
      <c r="L19" s="133"/>
    </row>
    <row r="20" spans="2:12" x14ac:dyDescent="0.55000000000000004">
      <c r="B20" s="68" t="s">
        <v>371</v>
      </c>
      <c r="C20" s="87"/>
      <c r="D20" s="68">
        <v>2021</v>
      </c>
      <c r="E20" s="68">
        <v>2022</v>
      </c>
      <c r="F20" s="68">
        <v>2023</v>
      </c>
      <c r="G20" s="212"/>
      <c r="H20" s="212"/>
      <c r="I20" s="212"/>
      <c r="J20" s="212"/>
      <c r="K20" s="212"/>
      <c r="L20" s="133"/>
    </row>
    <row r="21" spans="2:12" x14ac:dyDescent="0.55000000000000004">
      <c r="B21" s="66" t="s">
        <v>864</v>
      </c>
      <c r="C21" s="66"/>
      <c r="D21" s="241">
        <v>1.5</v>
      </c>
      <c r="E21" s="133">
        <f>Master!G250</f>
        <v>2</v>
      </c>
      <c r="F21" s="133">
        <f>Master!H250</f>
        <v>3</v>
      </c>
      <c r="G21" s="212"/>
      <c r="H21" s="212"/>
      <c r="I21" s="212"/>
      <c r="J21" s="212"/>
      <c r="K21" s="212"/>
      <c r="L21" s="133"/>
    </row>
    <row r="22" spans="2:12" x14ac:dyDescent="0.55000000000000004">
      <c r="B22" s="66" t="s">
        <v>869</v>
      </c>
      <c r="C22" s="66"/>
      <c r="D22" s="133">
        <f>Master!F242</f>
        <v>44</v>
      </c>
      <c r="E22" s="133">
        <f>Master!G242</f>
        <v>49</v>
      </c>
      <c r="F22" s="133">
        <f>Master!H242</f>
        <v>56</v>
      </c>
      <c r="G22" s="212"/>
      <c r="H22" s="212"/>
      <c r="I22" s="212"/>
      <c r="J22" s="212"/>
      <c r="K22" s="212"/>
      <c r="L22" s="133"/>
    </row>
    <row r="23" spans="2:12" x14ac:dyDescent="0.55000000000000004">
      <c r="B23" s="66" t="s">
        <v>870</v>
      </c>
      <c r="C23" s="66"/>
      <c r="D23" s="133">
        <f>D21*1000/D22</f>
        <v>34.090909090909093</v>
      </c>
      <c r="E23" s="133">
        <f>E21*1000/E22</f>
        <v>40.816326530612244</v>
      </c>
      <c r="F23" s="133">
        <f>F21*1000/F22</f>
        <v>53.571428571428569</v>
      </c>
      <c r="G23" s="212"/>
      <c r="H23" s="212"/>
      <c r="I23" s="212"/>
      <c r="J23" s="212"/>
      <c r="K23" s="212"/>
      <c r="L23" s="133"/>
    </row>
    <row r="24" spans="2:12" x14ac:dyDescent="0.55000000000000004">
      <c r="B24" s="66" t="s">
        <v>866</v>
      </c>
      <c r="C24" s="66"/>
      <c r="E24" s="171">
        <v>2.5000000000000001E-2</v>
      </c>
      <c r="F24" s="171">
        <v>4.3999999999999997E-2</v>
      </c>
      <c r="G24" s="212"/>
      <c r="H24" s="212"/>
      <c r="I24" s="212"/>
      <c r="J24" s="212"/>
      <c r="K24" s="212"/>
      <c r="L24" s="133"/>
    </row>
    <row r="25" spans="2:12" x14ac:dyDescent="0.55000000000000004">
      <c r="B25" s="66" t="s">
        <v>867</v>
      </c>
      <c r="C25" s="66"/>
      <c r="E25" s="140">
        <f>E24*AVERAGE(E21)*1000</f>
        <v>50</v>
      </c>
      <c r="F25" s="140">
        <f>F24*AVERAGE(F21)*1000</f>
        <v>132</v>
      </c>
      <c r="G25" s="212"/>
      <c r="H25" s="212"/>
      <c r="I25" s="212"/>
      <c r="J25" s="212"/>
      <c r="K25" s="212"/>
      <c r="L25" s="133"/>
    </row>
    <row r="26" spans="2:12" x14ac:dyDescent="0.55000000000000004">
      <c r="B26" s="66"/>
      <c r="C26" s="66"/>
      <c r="D26" s="66"/>
      <c r="E26" s="212"/>
      <c r="F26" s="212"/>
      <c r="G26" s="212"/>
      <c r="H26" s="212"/>
      <c r="I26" s="212"/>
      <c r="J26" s="212"/>
      <c r="K26" s="212"/>
      <c r="L26" s="133"/>
    </row>
    <row r="27" spans="2:12" x14ac:dyDescent="0.55000000000000004">
      <c r="B27" s="68" t="s">
        <v>371</v>
      </c>
      <c r="C27" s="87"/>
      <c r="D27" s="68">
        <v>2021</v>
      </c>
      <c r="E27" s="68">
        <v>2022</v>
      </c>
      <c r="F27" s="68">
        <v>2023</v>
      </c>
      <c r="G27" s="212"/>
      <c r="H27" s="212"/>
      <c r="I27" s="212"/>
      <c r="J27" s="212"/>
      <c r="K27" s="212"/>
      <c r="L27" s="133"/>
    </row>
    <row r="28" spans="2:12" x14ac:dyDescent="0.55000000000000004">
      <c r="B28" s="66" t="s">
        <v>893</v>
      </c>
      <c r="C28" s="66"/>
      <c r="D28" s="221"/>
      <c r="E28" s="133">
        <v>4.54</v>
      </c>
      <c r="F28" s="133">
        <v>5</v>
      </c>
      <c r="G28" s="212"/>
      <c r="H28" s="212"/>
      <c r="I28" s="212"/>
      <c r="J28" s="212"/>
      <c r="K28" s="212"/>
      <c r="L28" s="133"/>
    </row>
    <row r="29" spans="2:12" x14ac:dyDescent="0.55000000000000004">
      <c r="B29" s="66" t="s">
        <v>894</v>
      </c>
      <c r="C29" s="66"/>
      <c r="D29" s="221"/>
      <c r="E29" s="133">
        <v>0.64</v>
      </c>
      <c r="F29" s="133">
        <v>0.77</v>
      </c>
      <c r="G29" s="212"/>
      <c r="H29" s="212"/>
      <c r="I29" s="212"/>
      <c r="J29" s="212"/>
      <c r="K29" s="212"/>
      <c r="L29" s="133"/>
    </row>
    <row r="30" spans="2:12" x14ac:dyDescent="0.55000000000000004">
      <c r="B30" s="87" t="s">
        <v>895</v>
      </c>
      <c r="C30" s="87"/>
      <c r="D30" s="243"/>
      <c r="E30" s="244">
        <v>0.71599999999999997</v>
      </c>
      <c r="F30" s="244">
        <v>7.0999999999999994E-2</v>
      </c>
      <c r="G30" s="212"/>
      <c r="H30" s="212"/>
      <c r="I30" s="212"/>
      <c r="J30" s="212"/>
      <c r="K30" s="212"/>
      <c r="L30" s="133"/>
    </row>
    <row r="31" spans="2:12" x14ac:dyDescent="0.55000000000000004">
      <c r="B31" s="66" t="s">
        <v>869</v>
      </c>
      <c r="C31" s="66"/>
      <c r="D31" s="133">
        <v>5.5</v>
      </c>
      <c r="E31" s="133">
        <f>SUM(E28:E30)</f>
        <v>5.8959999999999999</v>
      </c>
      <c r="F31" s="133">
        <f>SUM(F28:F30)</f>
        <v>5.8409999999999993</v>
      </c>
      <c r="G31" s="212"/>
      <c r="H31" s="212"/>
      <c r="I31" s="212"/>
      <c r="J31" s="212"/>
      <c r="K31" s="212"/>
      <c r="L31" s="133"/>
    </row>
    <row r="32" spans="2:12" x14ac:dyDescent="0.55000000000000004">
      <c r="B32" s="66" t="s">
        <v>870</v>
      </c>
      <c r="C32" s="66"/>
      <c r="D32" s="133"/>
      <c r="E32" s="133"/>
      <c r="F32" s="133"/>
      <c r="G32" s="212"/>
      <c r="H32" s="212"/>
      <c r="I32" s="212"/>
      <c r="J32" s="212"/>
      <c r="K32" s="212"/>
      <c r="L32" s="133"/>
    </row>
    <row r="33" spans="2:13" x14ac:dyDescent="0.55000000000000004">
      <c r="B33" s="66" t="s">
        <v>866</v>
      </c>
      <c r="C33" s="66"/>
      <c r="E33" s="171">
        <v>0.03</v>
      </c>
      <c r="F33" s="171">
        <v>4.3999999999999997E-2</v>
      </c>
      <c r="G33" s="212"/>
      <c r="H33" s="212"/>
      <c r="I33" s="212"/>
      <c r="J33" s="212"/>
      <c r="K33" s="212"/>
      <c r="L33" s="133"/>
    </row>
    <row r="34" spans="2:13" x14ac:dyDescent="0.55000000000000004">
      <c r="B34" s="66" t="s">
        <v>867</v>
      </c>
      <c r="C34" s="66"/>
      <c r="E34" s="140">
        <f>E33*AVERAGE(D31,E31)*1000</f>
        <v>170.94</v>
      </c>
      <c r="F34" s="140">
        <f>F33*AVERAGE(E31,F31)*1000</f>
        <v>258.21399999999994</v>
      </c>
      <c r="G34" s="212"/>
      <c r="H34" s="212"/>
      <c r="I34" s="212"/>
      <c r="J34" s="212"/>
      <c r="K34" s="212"/>
      <c r="L34" s="133"/>
    </row>
    <row r="35" spans="2:13" x14ac:dyDescent="0.55000000000000004">
      <c r="B35" s="66"/>
      <c r="C35" s="66"/>
      <c r="E35" s="140"/>
      <c r="F35" s="140"/>
      <c r="G35" s="212"/>
      <c r="H35" s="212"/>
      <c r="I35" s="212"/>
      <c r="J35" s="212"/>
      <c r="K35" s="212"/>
      <c r="L35" s="133"/>
    </row>
    <row r="36" spans="2:13" x14ac:dyDescent="0.55000000000000004">
      <c r="B36" s="68" t="s">
        <v>714</v>
      </c>
      <c r="C36" s="222" t="s">
        <v>141</v>
      </c>
      <c r="D36" s="222" t="s">
        <v>142</v>
      </c>
      <c r="E36" s="222" t="s">
        <v>143</v>
      </c>
      <c r="F36" s="222" t="s">
        <v>144</v>
      </c>
      <c r="G36" s="222" t="s">
        <v>338</v>
      </c>
      <c r="H36" s="222" t="s">
        <v>339</v>
      </c>
      <c r="I36" s="222" t="s">
        <v>340</v>
      </c>
      <c r="J36" s="222" t="s">
        <v>341</v>
      </c>
      <c r="K36" s="222" t="s">
        <v>342</v>
      </c>
      <c r="L36" s="222" t="s">
        <v>927</v>
      </c>
      <c r="M36" s="222" t="s">
        <v>928</v>
      </c>
    </row>
    <row r="37" spans="2:13" x14ac:dyDescent="0.55000000000000004">
      <c r="B37" s="224" t="s">
        <v>718</v>
      </c>
      <c r="C37" s="245">
        <f>SUM(C10:E10)</f>
        <v>0.13666666666666666</v>
      </c>
      <c r="D37" s="245">
        <f>SUM(F10:H10)</f>
        <v>0.27416666666666667</v>
      </c>
      <c r="E37" s="245">
        <f>SUM(I10:K10)</f>
        <v>0.57833333333333337</v>
      </c>
      <c r="F37" s="245">
        <f>E37*1.4</f>
        <v>0.80966666666666665</v>
      </c>
      <c r="G37" s="245">
        <f>F37*1.4</f>
        <v>1.1335333333333333</v>
      </c>
      <c r="H37" s="245">
        <f>(1+H38)*G37</f>
        <v>1.53027</v>
      </c>
      <c r="I37" s="245">
        <f>Master!I312-F37-G37-H37</f>
        <v>2.012971666666667</v>
      </c>
      <c r="J37" s="245">
        <f>(1+J38)*I37</f>
        <v>2.5162145833333338</v>
      </c>
      <c r="K37" s="245">
        <f>(1+K38)*J37</f>
        <v>3.0194575000000006</v>
      </c>
      <c r="L37" s="245">
        <f>(1+L38)*K37</f>
        <v>3.6233490000000006</v>
      </c>
      <c r="M37" s="245">
        <f>Master!J312-J37-K37-L37</f>
        <v>4.2827610000000007</v>
      </c>
    </row>
    <row r="38" spans="2:13" x14ac:dyDescent="0.55000000000000004">
      <c r="B38" s="66" t="s">
        <v>926</v>
      </c>
      <c r="C38" s="212"/>
      <c r="D38" s="134">
        <f>D37/C37-1</f>
        <v>1.00609756097561</v>
      </c>
      <c r="E38" s="134">
        <f t="shared" ref="E38:M38" si="0">E37/D37-1</f>
        <v>1.1094224924012157</v>
      </c>
      <c r="F38" s="134">
        <f t="shared" si="0"/>
        <v>0.39999999999999991</v>
      </c>
      <c r="G38" s="134">
        <f t="shared" si="0"/>
        <v>0.39999999999999991</v>
      </c>
      <c r="H38" s="139">
        <v>0.35</v>
      </c>
      <c r="I38" s="134">
        <f t="shared" si="0"/>
        <v>0.31543562029358685</v>
      </c>
      <c r="J38" s="139">
        <v>0.25</v>
      </c>
      <c r="K38" s="139">
        <v>0.2</v>
      </c>
      <c r="L38" s="139">
        <v>0.2</v>
      </c>
      <c r="M38" s="134">
        <f t="shared" si="0"/>
        <v>0.18198964549095331</v>
      </c>
    </row>
    <row r="39" spans="2:13" x14ac:dyDescent="0.55000000000000004">
      <c r="B39" s="224" t="s">
        <v>719</v>
      </c>
      <c r="C39" s="252">
        <v>0.02</v>
      </c>
      <c r="D39" s="252">
        <v>0.02</v>
      </c>
      <c r="E39" s="252">
        <v>0.02</v>
      </c>
      <c r="F39" s="252">
        <v>0.02</v>
      </c>
      <c r="G39" s="252">
        <v>0.02</v>
      </c>
      <c r="H39" s="253">
        <v>0.02</v>
      </c>
      <c r="I39" s="252">
        <f>I40/(I37*1000)</f>
        <v>2.0000000000000004E-2</v>
      </c>
      <c r="J39" s="253">
        <v>0.02</v>
      </c>
      <c r="K39" s="253">
        <v>0.02</v>
      </c>
      <c r="L39" s="253">
        <v>0.02</v>
      </c>
      <c r="M39" s="253">
        <v>0.02</v>
      </c>
    </row>
    <row r="40" spans="2:13" x14ac:dyDescent="0.55000000000000004">
      <c r="B40" s="66" t="s">
        <v>717</v>
      </c>
      <c r="C40" s="133">
        <f t="shared" ref="C40:H40" si="1">C39*C37*1000</f>
        <v>2.7333333333333334</v>
      </c>
      <c r="D40" s="133">
        <f t="shared" si="1"/>
        <v>5.4833333333333334</v>
      </c>
      <c r="E40" s="133">
        <f t="shared" si="1"/>
        <v>11.566666666666668</v>
      </c>
      <c r="F40" s="133">
        <f t="shared" si="1"/>
        <v>16.193333333333335</v>
      </c>
      <c r="G40" s="133">
        <f t="shared" si="1"/>
        <v>22.670666666666666</v>
      </c>
      <c r="H40" s="133">
        <f t="shared" si="1"/>
        <v>30.605400000000003</v>
      </c>
      <c r="I40" s="133">
        <f>Master!I322-F40-G40-H40</f>
        <v>40.259433333333348</v>
      </c>
      <c r="J40" s="133">
        <f>J39*J37*1000</f>
        <v>50.324291666666682</v>
      </c>
      <c r="K40" s="133">
        <f>K39*K37*1000</f>
        <v>60.389150000000008</v>
      </c>
      <c r="L40" s="133">
        <f>L39*L37*1000</f>
        <v>72.466980000000021</v>
      </c>
      <c r="M40" s="133">
        <f>M39*M37*1000</f>
        <v>85.655220000000014</v>
      </c>
    </row>
    <row r="41" spans="2:13" x14ac:dyDescent="0.55000000000000004">
      <c r="B41" s="224"/>
      <c r="C41" s="226"/>
      <c r="D41" s="226"/>
      <c r="E41" s="226"/>
      <c r="F41" s="226"/>
      <c r="G41" s="226"/>
      <c r="H41" s="254"/>
      <c r="I41" s="254"/>
      <c r="J41" s="254"/>
      <c r="K41" s="254"/>
      <c r="L41" s="254"/>
      <c r="M41" s="254"/>
    </row>
    <row r="42" spans="2:13" x14ac:dyDescent="0.55000000000000004">
      <c r="B42" s="66" t="s">
        <v>897</v>
      </c>
      <c r="C42" s="133">
        <v>1</v>
      </c>
      <c r="D42" s="133">
        <v>2</v>
      </c>
      <c r="E42" s="133">
        <v>3</v>
      </c>
      <c r="F42" s="133">
        <v>4</v>
      </c>
      <c r="G42" s="133">
        <v>5</v>
      </c>
      <c r="H42" s="241">
        <f>G42+1</f>
        <v>6</v>
      </c>
      <c r="I42" s="133">
        <f>Master!I315</f>
        <v>7</v>
      </c>
      <c r="J42" s="241">
        <f>I42+1</f>
        <v>8</v>
      </c>
      <c r="K42" s="241">
        <f>J42+1</f>
        <v>9</v>
      </c>
      <c r="L42" s="241">
        <f>K42+1</f>
        <v>10</v>
      </c>
      <c r="M42" s="133">
        <f>Master!J315</f>
        <v>11</v>
      </c>
    </row>
    <row r="43" spans="2:13" ht="14.7" thickBot="1" x14ac:dyDescent="0.6">
      <c r="B43" s="224" t="s">
        <v>898</v>
      </c>
      <c r="C43" s="226">
        <f>'Op Metrics - feeder'!AJ64</f>
        <v>21</v>
      </c>
      <c r="D43" s="226">
        <f>'Op Metrics - feeder'!AK64</f>
        <v>22</v>
      </c>
      <c r="E43" s="226">
        <f>'Op Metrics - feeder'!AL64</f>
        <v>23</v>
      </c>
      <c r="F43" s="226">
        <f>'Op Metrics - feeder'!AM64</f>
        <v>24</v>
      </c>
      <c r="G43" s="226">
        <f>'Op Metrics - feeder'!AN64</f>
        <v>24</v>
      </c>
      <c r="H43" s="254"/>
      <c r="I43" s="254"/>
      <c r="J43" s="254"/>
      <c r="K43" s="254"/>
      <c r="L43" s="254"/>
      <c r="M43" s="254"/>
    </row>
    <row r="44" spans="2:13" ht="14.7" thickBot="1" x14ac:dyDescent="0.6">
      <c r="B44" s="255" t="s">
        <v>899</v>
      </c>
      <c r="C44" s="256">
        <f>C42/C43</f>
        <v>4.7619047619047616E-2</v>
      </c>
      <c r="D44" s="256">
        <f>D42/D43</f>
        <v>9.0909090909090912E-2</v>
      </c>
      <c r="E44" s="256">
        <f>E42/E43</f>
        <v>0.13043478260869565</v>
      </c>
      <c r="F44" s="256">
        <f>F42/F43</f>
        <v>0.16666666666666666</v>
      </c>
      <c r="G44" s="257">
        <f>G42/G43</f>
        <v>0.20833333333333334</v>
      </c>
    </row>
    <row r="45" spans="2:13" x14ac:dyDescent="0.55000000000000004">
      <c r="B45" s="224"/>
      <c r="C45" s="227"/>
      <c r="D45" s="227"/>
      <c r="E45" s="227"/>
      <c r="F45" s="227"/>
      <c r="G45" s="227"/>
      <c r="H45" s="254"/>
      <c r="I45" s="254"/>
      <c r="J45" s="254"/>
      <c r="K45" s="254"/>
      <c r="L45" s="254"/>
      <c r="M45" s="254"/>
    </row>
    <row r="46" spans="2:13" x14ac:dyDescent="0.55000000000000004">
      <c r="B46" s="66" t="s">
        <v>720</v>
      </c>
      <c r="C46" s="140">
        <f>C37*1000/C42</f>
        <v>136.66666666666666</v>
      </c>
      <c r="D46" s="140">
        <f>D37*1000/AVERAGE(C42,D42)</f>
        <v>182.7777777777778</v>
      </c>
      <c r="E46" s="140">
        <f t="shared" ref="E46:M46" si="2">E37*1000/AVERAGE(D42,E42)</f>
        <v>231.33333333333334</v>
      </c>
      <c r="F46" s="140">
        <f t="shared" si="2"/>
        <v>231.33333333333331</v>
      </c>
      <c r="G46" s="140">
        <f t="shared" si="2"/>
        <v>251.8962962962963</v>
      </c>
      <c r="H46" s="140">
        <f t="shared" si="2"/>
        <v>278.23090909090911</v>
      </c>
      <c r="I46" s="140">
        <f t="shared" si="2"/>
        <v>309.68794871794876</v>
      </c>
      <c r="J46" s="140">
        <f t="shared" si="2"/>
        <v>335.49527777777786</v>
      </c>
      <c r="K46" s="140">
        <f t="shared" si="2"/>
        <v>355.23029411764713</v>
      </c>
      <c r="L46" s="140">
        <f t="shared" si="2"/>
        <v>381.40515789473693</v>
      </c>
      <c r="M46" s="140">
        <f t="shared" si="2"/>
        <v>407.88200000000006</v>
      </c>
    </row>
    <row r="47" spans="2:13" x14ac:dyDescent="0.55000000000000004">
      <c r="B47" s="254" t="s">
        <v>933</v>
      </c>
      <c r="C47" s="254"/>
      <c r="D47" s="260">
        <f>D46/C46-1</f>
        <v>0.33739837398374006</v>
      </c>
      <c r="E47" s="260">
        <f t="shared" ref="E47:M47" si="3">E46/D46-1</f>
        <v>0.26565349544072947</v>
      </c>
      <c r="F47" s="260">
        <f t="shared" si="3"/>
        <v>0</v>
      </c>
      <c r="G47" s="260">
        <f t="shared" si="3"/>
        <v>8.8888888888889017E-2</v>
      </c>
      <c r="H47" s="260">
        <f t="shared" si="3"/>
        <v>0.1045454545454545</v>
      </c>
      <c r="I47" s="260">
        <f t="shared" si="3"/>
        <v>0.11306090947918879</v>
      </c>
      <c r="J47" s="260">
        <f t="shared" si="3"/>
        <v>8.3333333333333481E-2</v>
      </c>
      <c r="K47" s="260">
        <f t="shared" si="3"/>
        <v>5.8823529411764719E-2</v>
      </c>
      <c r="L47" s="260">
        <f t="shared" si="3"/>
        <v>7.3684210526315796E-2</v>
      </c>
      <c r="M47" s="260">
        <f t="shared" si="3"/>
        <v>6.9419203063243229E-2</v>
      </c>
    </row>
    <row r="48" spans="2:13" x14ac:dyDescent="0.55000000000000004">
      <c r="B48" s="87" t="s">
        <v>723</v>
      </c>
      <c r="C48" s="258">
        <f>C40/Interims!M30</f>
        <v>2.5975219007524893E-3</v>
      </c>
      <c r="D48" s="258">
        <f>D40/Interims!N30</f>
        <v>5.0889900396554524E-3</v>
      </c>
      <c r="E48" s="258">
        <f>E40/Interims!O30</f>
        <v>9.7713393943797081E-3</v>
      </c>
      <c r="F48" s="258">
        <f>F40/Interims!P30</f>
        <v>1.2866893863487501E-2</v>
      </c>
      <c r="G48" s="258">
        <f>G40/Interims!Q30</f>
        <v>1.7453151688345814E-2</v>
      </c>
      <c r="H48" s="258">
        <f>H40/Interims!R30</f>
        <v>2.3512283630929581E-2</v>
      </c>
      <c r="I48" s="258">
        <f>I40/Interims!S30</f>
        <v>2.9407105189833704E-2</v>
      </c>
      <c r="J48" s="258">
        <f>J40/Interims!T30</f>
        <v>3.4844671810501354E-2</v>
      </c>
      <c r="K48" s="258">
        <f>K40/Interims!U30</f>
        <v>3.97508540037965E-2</v>
      </c>
      <c r="L48" s="258">
        <f>L40/Interims!V30</f>
        <v>4.870725078789271E-2</v>
      </c>
      <c r="M48" s="258">
        <f>M40/Interims!W30</f>
        <v>5.3412749030029162E-2</v>
      </c>
    </row>
    <row r="49" spans="2:12" x14ac:dyDescent="0.55000000000000004">
      <c r="B49" s="66"/>
      <c r="C49" s="66"/>
      <c r="D49" s="66"/>
      <c r="E49" s="66"/>
      <c r="F49" s="66"/>
      <c r="G49" s="66"/>
      <c r="H49" s="66"/>
      <c r="I49" s="66"/>
      <c r="J49" s="66"/>
      <c r="K49" s="66"/>
      <c r="L49" s="66"/>
    </row>
    <row r="50" spans="2:12" x14ac:dyDescent="0.55000000000000004">
      <c r="B50" s="66" t="s">
        <v>721</v>
      </c>
      <c r="C50" s="69">
        <v>109.19601999999999</v>
      </c>
      <c r="D50" s="69">
        <v>112.43329</v>
      </c>
      <c r="E50" s="69">
        <v>118.29804000000001</v>
      </c>
      <c r="F50" s="69">
        <v>109.053</v>
      </c>
      <c r="G50" s="251">
        <v>112</v>
      </c>
      <c r="H50" s="66"/>
      <c r="I50" s="66"/>
      <c r="J50" s="66"/>
      <c r="K50" s="66"/>
      <c r="L50" s="66"/>
    </row>
    <row r="51" spans="2:12" x14ac:dyDescent="0.55000000000000004">
      <c r="B51" s="66" t="s">
        <v>722</v>
      </c>
      <c r="C51" s="171">
        <f>C37/C50</f>
        <v>1.2515718674239837E-3</v>
      </c>
      <c r="D51" s="171">
        <f>D37/D50</f>
        <v>2.4384830032694645E-3</v>
      </c>
      <c r="E51" s="171">
        <f>E37/E50</f>
        <v>4.8887820401194585E-3</v>
      </c>
      <c r="F51" s="171">
        <f>F37/F50</f>
        <v>7.4245244666966215E-3</v>
      </c>
      <c r="G51" s="171">
        <f>G37/G50</f>
        <v>1.0120833333333332E-2</v>
      </c>
      <c r="H51" s="66"/>
      <c r="I51" s="66"/>
      <c r="J51" s="66"/>
      <c r="K51" s="66"/>
      <c r="L51" s="66"/>
    </row>
    <row r="52" spans="2:12" x14ac:dyDescent="0.55000000000000004">
      <c r="B52" s="66"/>
      <c r="C52" s="66"/>
      <c r="D52" s="66"/>
      <c r="E52" s="66"/>
      <c r="F52" s="66"/>
      <c r="G52" s="66"/>
      <c r="H52" s="66"/>
      <c r="I52" s="66"/>
      <c r="J52" s="66"/>
      <c r="K52" s="66"/>
      <c r="L52" s="66"/>
    </row>
    <row r="53" spans="2:12" x14ac:dyDescent="0.55000000000000004">
      <c r="B53" s="68" t="s">
        <v>163</v>
      </c>
      <c r="C53" s="68">
        <v>2022</v>
      </c>
      <c r="D53" s="68">
        <v>2023</v>
      </c>
      <c r="E53" s="66"/>
      <c r="F53" s="66"/>
      <c r="G53" s="66"/>
      <c r="H53" s="66"/>
      <c r="I53" s="66"/>
      <c r="J53" s="66"/>
      <c r="K53" s="66"/>
      <c r="L53" s="66"/>
    </row>
    <row r="54" spans="2:12" x14ac:dyDescent="0.55000000000000004">
      <c r="B54" s="66" t="s">
        <v>775</v>
      </c>
      <c r="C54" s="69">
        <f>D18</f>
        <v>828</v>
      </c>
      <c r="D54" s="69">
        <f>E18</f>
        <v>1248</v>
      </c>
      <c r="E54" s="134">
        <f>D54/D$59</f>
        <v>0.75962498726502103</v>
      </c>
      <c r="F54" s="270">
        <f>D54/Master!H260</f>
        <v>0.28865749516070799</v>
      </c>
      <c r="G54" s="66"/>
      <c r="H54" s="66" t="s">
        <v>941</v>
      </c>
      <c r="I54" s="66"/>
      <c r="J54" s="66"/>
      <c r="K54" s="66"/>
      <c r="L54" s="66"/>
    </row>
    <row r="55" spans="2:12" x14ac:dyDescent="0.55000000000000004">
      <c r="B55" s="66" t="s">
        <v>889</v>
      </c>
      <c r="C55" s="69">
        <f>E25</f>
        <v>50</v>
      </c>
      <c r="D55" s="69">
        <f>F25</f>
        <v>132</v>
      </c>
      <c r="E55" s="134">
        <f>D55/D$59</f>
        <v>8.0344950576107993E-2</v>
      </c>
      <c r="F55" s="66"/>
      <c r="G55" s="66"/>
      <c r="H55" s="66" t="s">
        <v>940</v>
      </c>
      <c r="I55" s="66"/>
      <c r="J55" s="66"/>
      <c r="K55" s="66"/>
      <c r="L55" s="66"/>
    </row>
    <row r="56" spans="2:12" x14ac:dyDescent="0.55000000000000004">
      <c r="B56" s="66" t="s">
        <v>890</v>
      </c>
      <c r="C56" s="69">
        <f>C91-C92</f>
        <v>109.37254932456453</v>
      </c>
      <c r="D56" s="69">
        <f>D91-D92</f>
        <v>199.24118814432993</v>
      </c>
      <c r="E56" s="134">
        <f>D56/D$59</f>
        <v>0.12127290465288805</v>
      </c>
      <c r="F56" s="269" t="s">
        <v>942</v>
      </c>
      <c r="G56" s="66"/>
      <c r="H56" s="66"/>
      <c r="I56" s="66"/>
      <c r="J56" s="66"/>
      <c r="K56" s="66"/>
      <c r="L56" s="66"/>
    </row>
    <row r="57" spans="2:12" x14ac:dyDescent="0.55000000000000004">
      <c r="B57" s="66" t="s">
        <v>714</v>
      </c>
      <c r="C57" s="69">
        <v>0</v>
      </c>
      <c r="D57" s="69">
        <f>1+C40+D40+E40</f>
        <v>20.783333333333335</v>
      </c>
      <c r="E57" s="134">
        <f>D57/D$59</f>
        <v>1.2650271889950339E-2</v>
      </c>
      <c r="F57" s="66"/>
      <c r="G57" s="66"/>
      <c r="H57" s="66"/>
      <c r="I57" s="66"/>
      <c r="J57" s="66"/>
      <c r="K57" s="66"/>
      <c r="L57" s="66"/>
    </row>
    <row r="58" spans="2:12" x14ac:dyDescent="0.55000000000000004">
      <c r="B58" s="87" t="s">
        <v>896</v>
      </c>
      <c r="C58" s="88">
        <f>C59-C54-C55-C56-C57</f>
        <v>22.246790675435321</v>
      </c>
      <c r="D58" s="88">
        <f>D59-D54-D55-D56-D57</f>
        <v>42.891418522336608</v>
      </c>
      <c r="E58" s="134">
        <f>D58/D$59</f>
        <v>2.6106885616032558E-2</v>
      </c>
      <c r="F58" s="66"/>
      <c r="G58" s="66"/>
      <c r="H58" s="66"/>
      <c r="I58" s="66"/>
      <c r="J58" s="66"/>
      <c r="K58" s="66"/>
      <c r="L58" s="66"/>
    </row>
    <row r="59" spans="2:12" x14ac:dyDescent="0.55000000000000004">
      <c r="B59" s="66" t="s">
        <v>868</v>
      </c>
      <c r="C59" s="69">
        <f>Master!G292</f>
        <v>1009.6193399999999</v>
      </c>
      <c r="D59" s="69">
        <f>Master!H292</f>
        <v>1642.9159399999999</v>
      </c>
      <c r="E59" s="66"/>
      <c r="F59" s="66"/>
      <c r="G59" s="66"/>
      <c r="H59" s="66"/>
      <c r="I59" s="66"/>
      <c r="J59" s="66"/>
      <c r="K59" s="66"/>
      <c r="L59" s="66"/>
    </row>
    <row r="60" spans="2:12" x14ac:dyDescent="0.55000000000000004">
      <c r="B60" s="66"/>
      <c r="C60" s="66"/>
      <c r="D60" s="66"/>
      <c r="E60" s="66"/>
      <c r="F60" s="66"/>
      <c r="G60" s="66"/>
      <c r="H60" s="66"/>
      <c r="I60" s="66"/>
      <c r="J60" s="66"/>
      <c r="K60" s="66"/>
      <c r="L60" s="66"/>
    </row>
    <row r="61" spans="2:12" x14ac:dyDescent="0.55000000000000004">
      <c r="B61" s="68" t="s">
        <v>909</v>
      </c>
      <c r="C61" s="68">
        <v>2022</v>
      </c>
      <c r="D61" s="68">
        <v>2023</v>
      </c>
      <c r="E61" s="66"/>
      <c r="F61" s="66"/>
      <c r="G61" s="66"/>
      <c r="H61" s="66"/>
      <c r="I61" s="66"/>
      <c r="J61" s="66"/>
      <c r="K61" s="66"/>
      <c r="L61" s="66"/>
    </row>
    <row r="62" spans="2:12" x14ac:dyDescent="0.55000000000000004">
      <c r="B62" s="224" t="s">
        <v>888</v>
      </c>
      <c r="C62" s="225">
        <v>327</v>
      </c>
      <c r="D62" s="225">
        <v>478</v>
      </c>
      <c r="E62" s="66"/>
      <c r="F62" s="66"/>
      <c r="G62" s="66"/>
      <c r="H62" s="66"/>
      <c r="I62" s="66"/>
      <c r="J62" s="66"/>
      <c r="K62" s="66"/>
      <c r="L62" s="66"/>
    </row>
    <row r="63" spans="2:12" x14ac:dyDescent="0.55000000000000004">
      <c r="B63" s="66" t="s">
        <v>904</v>
      </c>
      <c r="C63" s="69">
        <v>121</v>
      </c>
      <c r="D63" s="69">
        <v>275</v>
      </c>
      <c r="E63" s="66"/>
      <c r="F63" s="66"/>
      <c r="G63" s="66"/>
      <c r="H63" s="66"/>
      <c r="I63" s="66"/>
      <c r="J63" s="66"/>
      <c r="K63" s="66"/>
      <c r="L63" s="66"/>
    </row>
    <row r="64" spans="2:12" x14ac:dyDescent="0.55000000000000004">
      <c r="B64" s="229" t="s">
        <v>321</v>
      </c>
      <c r="C64" s="230">
        <v>26</v>
      </c>
      <c r="D64" s="230">
        <v>23</v>
      </c>
      <c r="E64" s="66"/>
      <c r="F64" s="66"/>
      <c r="G64" s="66"/>
      <c r="H64" s="66"/>
      <c r="I64" s="66"/>
      <c r="J64" s="66"/>
      <c r="K64" s="66"/>
      <c r="L64" s="66"/>
    </row>
    <row r="65" spans="2:12" x14ac:dyDescent="0.55000000000000004">
      <c r="B65" s="66" t="s">
        <v>277</v>
      </c>
      <c r="C65" s="69">
        <f>SUM(C62:C64)</f>
        <v>474</v>
      </c>
      <c r="D65" s="69">
        <f>SUM(D62:D64)</f>
        <v>776</v>
      </c>
      <c r="E65" s="66"/>
      <c r="F65" s="66"/>
      <c r="G65" s="66"/>
      <c r="H65" s="66"/>
      <c r="I65" s="66"/>
      <c r="J65" s="66"/>
      <c r="K65" s="66"/>
      <c r="L65" s="66"/>
    </row>
    <row r="66" spans="2:12" x14ac:dyDescent="0.55000000000000004">
      <c r="B66" s="224"/>
      <c r="C66" s="224"/>
      <c r="D66" s="224"/>
      <c r="E66" s="66"/>
      <c r="F66" s="66"/>
      <c r="G66" s="66"/>
      <c r="H66" s="66"/>
      <c r="I66" s="66"/>
      <c r="J66" s="66"/>
      <c r="K66" s="66"/>
      <c r="L66" s="66"/>
    </row>
    <row r="67" spans="2:12" x14ac:dyDescent="0.55000000000000004">
      <c r="B67" s="68" t="s">
        <v>908</v>
      </c>
      <c r="C67" s="68">
        <v>2022</v>
      </c>
      <c r="D67" s="68">
        <v>2023</v>
      </c>
      <c r="E67" s="66"/>
      <c r="F67" s="66"/>
      <c r="G67" s="66"/>
      <c r="H67" s="66"/>
      <c r="I67" s="66"/>
      <c r="J67" s="66"/>
      <c r="K67" s="66"/>
      <c r="L67" s="66"/>
    </row>
    <row r="68" spans="2:12" x14ac:dyDescent="0.55000000000000004">
      <c r="B68" s="224" t="s">
        <v>906</v>
      </c>
      <c r="C68" s="248"/>
      <c r="D68" s="248"/>
      <c r="E68" s="66"/>
      <c r="F68" s="66"/>
      <c r="G68" s="66"/>
      <c r="H68" s="66"/>
      <c r="I68" s="66"/>
      <c r="J68" s="66"/>
      <c r="K68" s="66"/>
      <c r="L68" s="66"/>
    </row>
    <row r="69" spans="2:12" x14ac:dyDescent="0.55000000000000004">
      <c r="B69" s="66" t="str">
        <f>B62</f>
        <v>Commercial</v>
      </c>
      <c r="C69" s="69">
        <f t="shared" ref="C69:D71" si="4">C62/$D$65*C$72</f>
        <v>52.25257731958763</v>
      </c>
      <c r="D69" s="69">
        <f t="shared" si="4"/>
        <v>152.51649484536082</v>
      </c>
      <c r="E69" s="66"/>
      <c r="F69" s="66"/>
      <c r="G69" s="66"/>
      <c r="H69" s="66"/>
      <c r="I69" s="66"/>
      <c r="J69" s="66"/>
      <c r="K69" s="66"/>
      <c r="L69" s="66"/>
    </row>
    <row r="70" spans="2:12" x14ac:dyDescent="0.55000000000000004">
      <c r="B70" s="224" t="str">
        <f>B63</f>
        <v>Consumer (Cash App)</v>
      </c>
      <c r="C70" s="225">
        <f t="shared" si="4"/>
        <v>19.335051546391753</v>
      </c>
      <c r="D70" s="225">
        <f t="shared" si="4"/>
        <v>87.744845360824741</v>
      </c>
      <c r="E70" s="66"/>
      <c r="F70" s="66"/>
      <c r="G70" s="66"/>
      <c r="H70" s="66"/>
      <c r="I70" s="66"/>
      <c r="J70" s="66"/>
      <c r="K70" s="66"/>
      <c r="L70" s="66"/>
    </row>
    <row r="71" spans="2:12" x14ac:dyDescent="0.55000000000000004">
      <c r="B71" s="87" t="str">
        <f>B64</f>
        <v>Other</v>
      </c>
      <c r="C71" s="88">
        <f t="shared" si="4"/>
        <v>4.1546391752577314</v>
      </c>
      <c r="D71" s="88">
        <f t="shared" si="4"/>
        <v>7.3386597938144327</v>
      </c>
      <c r="E71" s="66"/>
      <c r="F71" s="66"/>
      <c r="G71" s="66"/>
      <c r="H71" s="66"/>
      <c r="I71" s="66"/>
      <c r="J71" s="66"/>
      <c r="K71" s="66"/>
      <c r="L71" s="66"/>
    </row>
    <row r="72" spans="2:12" x14ac:dyDescent="0.55000000000000004">
      <c r="B72" s="224" t="s">
        <v>907</v>
      </c>
      <c r="C72" s="225">
        <v>124</v>
      </c>
      <c r="D72" s="225">
        <v>247.6</v>
      </c>
      <c r="E72" s="66"/>
      <c r="F72" s="66"/>
      <c r="G72" s="66"/>
      <c r="H72" s="66"/>
      <c r="I72" s="66"/>
      <c r="J72" s="66"/>
      <c r="K72" s="66"/>
      <c r="L72" s="66"/>
    </row>
    <row r="73" spans="2:12" x14ac:dyDescent="0.55000000000000004">
      <c r="B73" s="66"/>
      <c r="C73" s="66"/>
      <c r="D73" s="66"/>
      <c r="E73" s="66"/>
      <c r="F73" s="66"/>
      <c r="G73" s="66"/>
      <c r="H73" s="66"/>
      <c r="I73" s="66"/>
      <c r="J73" s="66"/>
      <c r="K73" s="66"/>
      <c r="L73" s="66"/>
    </row>
    <row r="74" spans="2:12" x14ac:dyDescent="0.55000000000000004">
      <c r="B74" s="188" t="s">
        <v>910</v>
      </c>
      <c r="C74" s="188">
        <v>2022</v>
      </c>
      <c r="D74" s="188">
        <v>2023</v>
      </c>
      <c r="E74" s="66"/>
      <c r="F74" s="66"/>
      <c r="G74" s="66"/>
      <c r="H74" s="66"/>
      <c r="I74" s="66"/>
      <c r="J74" s="66"/>
      <c r="K74" s="66"/>
      <c r="L74" s="66"/>
    </row>
    <row r="75" spans="2:12" x14ac:dyDescent="0.55000000000000004">
      <c r="B75" s="66" t="str">
        <f>B69</f>
        <v>Commercial</v>
      </c>
      <c r="C75" s="69">
        <f t="shared" ref="C75:D78" si="5">C62+C69</f>
        <v>379.25257731958766</v>
      </c>
      <c r="D75" s="69">
        <f t="shared" si="5"/>
        <v>630.51649484536085</v>
      </c>
      <c r="E75" s="66"/>
      <c r="F75" s="66"/>
      <c r="G75" s="66"/>
      <c r="H75" s="66"/>
      <c r="I75" s="66"/>
      <c r="J75" s="66"/>
      <c r="K75" s="66"/>
      <c r="L75" s="66"/>
    </row>
    <row r="76" spans="2:12" x14ac:dyDescent="0.55000000000000004">
      <c r="B76" s="224" t="str">
        <f>B70</f>
        <v>Consumer (Cash App)</v>
      </c>
      <c r="C76" s="225">
        <f t="shared" si="5"/>
        <v>140.33505154639175</v>
      </c>
      <c r="D76" s="225">
        <f t="shared" si="5"/>
        <v>362.74484536082474</v>
      </c>
      <c r="E76" s="66"/>
      <c r="F76" s="66"/>
      <c r="G76" s="66"/>
      <c r="H76" s="66"/>
      <c r="I76" s="66"/>
      <c r="J76" s="66"/>
      <c r="K76" s="66"/>
      <c r="L76" s="66"/>
    </row>
    <row r="77" spans="2:12" x14ac:dyDescent="0.55000000000000004">
      <c r="B77" s="87" t="str">
        <f>B71</f>
        <v>Other</v>
      </c>
      <c r="C77" s="88">
        <f t="shared" si="5"/>
        <v>30.154639175257731</v>
      </c>
      <c r="D77" s="88">
        <f t="shared" si="5"/>
        <v>30.338659793814433</v>
      </c>
      <c r="E77" s="66"/>
      <c r="F77" s="66"/>
      <c r="G77" s="66"/>
      <c r="H77" s="66"/>
      <c r="I77" s="66"/>
      <c r="J77" s="66"/>
      <c r="K77" s="66"/>
      <c r="L77" s="66"/>
    </row>
    <row r="78" spans="2:12" x14ac:dyDescent="0.55000000000000004">
      <c r="B78" s="224" t="s">
        <v>277</v>
      </c>
      <c r="C78" s="225">
        <f t="shared" si="5"/>
        <v>598</v>
      </c>
      <c r="D78" s="225">
        <f t="shared" si="5"/>
        <v>1023.6</v>
      </c>
      <c r="E78" s="66"/>
      <c r="F78" s="66"/>
      <c r="G78" s="66"/>
      <c r="H78" s="66"/>
      <c r="I78" s="66"/>
      <c r="J78" s="66"/>
      <c r="K78" s="66"/>
      <c r="L78" s="66"/>
    </row>
    <row r="79" spans="2:12" x14ac:dyDescent="0.55000000000000004">
      <c r="B79" s="66"/>
      <c r="C79" s="66"/>
      <c r="D79" s="140"/>
      <c r="E79" s="66"/>
      <c r="F79" s="66"/>
      <c r="G79" s="66"/>
      <c r="H79" s="66"/>
      <c r="I79" s="66"/>
      <c r="J79" s="66"/>
      <c r="K79" s="66"/>
      <c r="L79" s="66"/>
    </row>
    <row r="80" spans="2:12" x14ac:dyDescent="0.55000000000000004">
      <c r="B80" s="68"/>
      <c r="C80" s="68">
        <f>C74</f>
        <v>2022</v>
      </c>
      <c r="D80" s="68">
        <f>D74</f>
        <v>2023</v>
      </c>
      <c r="E80" s="66"/>
      <c r="F80" s="66"/>
      <c r="G80" s="66"/>
      <c r="H80" s="66"/>
      <c r="I80" s="66"/>
      <c r="J80" s="66"/>
      <c r="K80" s="66"/>
      <c r="L80" s="66"/>
    </row>
    <row r="81" spans="2:12" x14ac:dyDescent="0.55000000000000004">
      <c r="B81" s="224" t="s">
        <v>919</v>
      </c>
      <c r="C81" s="225">
        <f>C76</f>
        <v>140.33505154639175</v>
      </c>
      <c r="D81" s="225">
        <f>D76</f>
        <v>362.74484536082474</v>
      </c>
      <c r="E81" s="66"/>
      <c r="F81" s="66"/>
      <c r="G81" s="66"/>
      <c r="H81" s="66"/>
      <c r="I81" s="66"/>
      <c r="J81" s="66"/>
      <c r="K81" s="66"/>
      <c r="L81" s="66"/>
    </row>
    <row r="82" spans="2:12" x14ac:dyDescent="0.55000000000000004">
      <c r="B82" s="66" t="s">
        <v>911</v>
      </c>
      <c r="C82" s="69">
        <f>H83</f>
        <v>2068.9655172413795</v>
      </c>
      <c r="D82" s="69">
        <f>I83</f>
        <v>3600</v>
      </c>
      <c r="E82" s="66"/>
      <c r="F82" s="66"/>
      <c r="G82" s="87"/>
      <c r="H82" s="87">
        <v>2022</v>
      </c>
      <c r="I82" s="87">
        <f>H82+1</f>
        <v>2023</v>
      </c>
      <c r="K82" s="66"/>
      <c r="L82" s="66"/>
    </row>
    <row r="83" spans="2:12" x14ac:dyDescent="0.55000000000000004">
      <c r="B83" s="224" t="s">
        <v>891</v>
      </c>
      <c r="C83" s="226">
        <f>C76*52/C82</f>
        <v>3.5270876288659787</v>
      </c>
      <c r="D83" s="226">
        <f>D76*52/D82</f>
        <v>5.2396477663230243</v>
      </c>
      <c r="E83" s="66"/>
      <c r="F83" s="66"/>
      <c r="G83" s="66" t="s">
        <v>890</v>
      </c>
      <c r="H83" s="69">
        <f>I83/1.74</f>
        <v>2068.9655172413795</v>
      </c>
      <c r="I83" s="69">
        <v>3600</v>
      </c>
      <c r="K83" s="66"/>
      <c r="L83" s="66"/>
    </row>
    <row r="84" spans="2:12" x14ac:dyDescent="0.55000000000000004">
      <c r="B84" s="66"/>
      <c r="C84" s="66"/>
      <c r="D84" s="66"/>
      <c r="E84" s="66"/>
      <c r="F84" s="66"/>
      <c r="G84" s="66" t="s">
        <v>903</v>
      </c>
      <c r="H84" s="69">
        <f>'Op Metrics - feeder'!AH56+'Op Metrics - feeder'!AG56+'Op Metrics - feeder'!AF56+'Op Metrics - feeder'!AE56</f>
        <v>4066</v>
      </c>
      <c r="I84" s="69">
        <f>'Op Metrics - feeder'!AL56+'Op Metrics - feeder'!AK56+'Op Metrics - feeder'!AJ56+'Op Metrics - feeder'!AI56</f>
        <v>4770</v>
      </c>
      <c r="K84" s="66"/>
      <c r="L84" s="66"/>
    </row>
    <row r="85" spans="2:12" x14ac:dyDescent="0.55000000000000004">
      <c r="B85" s="224" t="s">
        <v>917</v>
      </c>
      <c r="C85" s="246">
        <v>125</v>
      </c>
      <c r="D85" s="246">
        <v>150</v>
      </c>
      <c r="E85" s="66"/>
      <c r="F85" s="66"/>
      <c r="G85" s="66"/>
      <c r="H85" s="69"/>
      <c r="I85" s="69"/>
      <c r="K85" s="66"/>
      <c r="L85" s="66"/>
    </row>
    <row r="86" spans="2:12" x14ac:dyDescent="0.55000000000000004">
      <c r="B86" s="66" t="s">
        <v>918</v>
      </c>
      <c r="C86" s="133">
        <f>C82/C85</f>
        <v>16.551724137931036</v>
      </c>
      <c r="D86" s="133">
        <f>D82/D85</f>
        <v>24</v>
      </c>
      <c r="E86" s="66"/>
      <c r="F86" s="66"/>
      <c r="G86" s="66"/>
      <c r="H86" s="69"/>
      <c r="I86" s="69"/>
      <c r="K86" s="66"/>
      <c r="L86" s="66"/>
    </row>
    <row r="87" spans="2:12" x14ac:dyDescent="0.55000000000000004">
      <c r="B87" s="224"/>
      <c r="C87" s="224"/>
      <c r="D87" s="224"/>
      <c r="E87" s="66"/>
      <c r="F87" s="66"/>
      <c r="G87" s="66"/>
      <c r="H87" s="69"/>
      <c r="I87" s="69"/>
      <c r="K87" s="66"/>
      <c r="L87" s="66"/>
    </row>
    <row r="88" spans="2:12" x14ac:dyDescent="0.55000000000000004">
      <c r="B88" s="66" t="s">
        <v>915</v>
      </c>
      <c r="C88" s="134">
        <v>0.05</v>
      </c>
      <c r="D88" s="134">
        <v>0.05</v>
      </c>
      <c r="E88" s="66"/>
      <c r="F88" s="66"/>
      <c r="G88" s="140" t="e">
        <f>D83/52*#REF!*D82</f>
        <v>#REF!</v>
      </c>
      <c r="H88" s="66"/>
      <c r="I88" s="66"/>
      <c r="J88" s="66"/>
      <c r="K88" s="66"/>
      <c r="L88" s="66"/>
    </row>
    <row r="89" spans="2:12" x14ac:dyDescent="0.55000000000000004">
      <c r="B89" s="224" t="s">
        <v>916</v>
      </c>
      <c r="C89" s="227">
        <v>5.0000000000000001E-3</v>
      </c>
      <c r="D89" s="227">
        <v>0.01</v>
      </c>
      <c r="E89" s="66"/>
      <c r="F89" s="66"/>
      <c r="G89" s="140"/>
      <c r="H89" s="66"/>
      <c r="I89" s="66"/>
      <c r="J89" s="66"/>
      <c r="K89" s="66"/>
      <c r="L89" s="66"/>
    </row>
    <row r="90" spans="2:12" x14ac:dyDescent="0.55000000000000004">
      <c r="B90" s="66"/>
      <c r="C90" s="134"/>
      <c r="D90" s="134"/>
      <c r="E90" s="66"/>
      <c r="F90" s="66"/>
      <c r="G90" s="140"/>
      <c r="H90" s="66"/>
      <c r="I90" s="66"/>
      <c r="J90" s="66"/>
      <c r="K90" s="66"/>
      <c r="L90" s="66"/>
    </row>
    <row r="91" spans="2:12" x14ac:dyDescent="0.55000000000000004">
      <c r="B91" s="224" t="s">
        <v>90</v>
      </c>
      <c r="C91" s="225">
        <f>+(C82*(C$88+C$89))</f>
        <v>113.79310344827587</v>
      </c>
      <c r="D91" s="225">
        <f>+(D82*(D$88+D$89))</f>
        <v>216.00000000000003</v>
      </c>
      <c r="E91" s="66"/>
      <c r="F91" s="66"/>
      <c r="G91" s="66">
        <f>D88*D82</f>
        <v>180</v>
      </c>
      <c r="H91" s="66"/>
      <c r="I91" s="66"/>
      <c r="J91" s="66"/>
      <c r="K91" s="66"/>
      <c r="L91" s="66"/>
    </row>
    <row r="92" spans="2:12" x14ac:dyDescent="0.55000000000000004">
      <c r="B92" s="87" t="s">
        <v>913</v>
      </c>
      <c r="C92" s="235">
        <f>C96*C76</f>
        <v>4.4205541237113399</v>
      </c>
      <c r="D92" s="235">
        <f>D96*D76</f>
        <v>16.758811855670103</v>
      </c>
      <c r="E92" s="66"/>
      <c r="F92" s="66"/>
      <c r="G92" s="66"/>
      <c r="H92" s="66"/>
      <c r="I92" s="66"/>
      <c r="J92" s="66"/>
      <c r="K92" s="66"/>
      <c r="L92" s="66"/>
    </row>
    <row r="93" spans="2:12" x14ac:dyDescent="0.55000000000000004">
      <c r="B93" s="224" t="s">
        <v>156</v>
      </c>
      <c r="C93" s="246">
        <f>C91-C92</f>
        <v>109.37254932456453</v>
      </c>
      <c r="D93" s="246">
        <f>D91-D92</f>
        <v>199.24118814432993</v>
      </c>
      <c r="E93" s="66"/>
      <c r="F93" s="66"/>
      <c r="G93" s="66"/>
      <c r="H93" s="66"/>
      <c r="I93" s="66"/>
      <c r="J93" s="66"/>
      <c r="K93" s="66"/>
      <c r="L93" s="66"/>
    </row>
    <row r="94" spans="2:12" x14ac:dyDescent="0.55000000000000004">
      <c r="B94" s="66" t="s">
        <v>905</v>
      </c>
      <c r="C94" s="171">
        <v>0.03</v>
      </c>
      <c r="D94" s="171">
        <v>0.03</v>
      </c>
      <c r="E94" s="66"/>
      <c r="F94" s="66"/>
      <c r="G94" s="66"/>
      <c r="H94" s="66"/>
      <c r="I94" s="66"/>
      <c r="J94" s="66"/>
      <c r="K94" s="66"/>
      <c r="L94" s="66"/>
    </row>
    <row r="95" spans="2:12" x14ac:dyDescent="0.55000000000000004">
      <c r="B95" s="224" t="s">
        <v>280</v>
      </c>
      <c r="C95" s="246">
        <f>C94*C76</f>
        <v>4.2100515463917523</v>
      </c>
      <c r="D95" s="246">
        <f>D94*D76</f>
        <v>10.882345360824742</v>
      </c>
      <c r="E95" s="66"/>
      <c r="F95" s="66"/>
      <c r="G95" s="66"/>
      <c r="H95" s="66"/>
      <c r="I95" s="66"/>
      <c r="J95" s="66"/>
      <c r="K95" s="66"/>
      <c r="L95" s="66"/>
    </row>
    <row r="96" spans="2:12" x14ac:dyDescent="0.55000000000000004">
      <c r="B96" s="66" t="s">
        <v>912</v>
      </c>
      <c r="C96" s="171">
        <f>E33*1.05</f>
        <v>3.15E-2</v>
      </c>
      <c r="D96" s="171">
        <f>F33*1.05</f>
        <v>4.6199999999999998E-2</v>
      </c>
      <c r="E96" s="66"/>
      <c r="F96" s="66"/>
      <c r="G96" s="66"/>
      <c r="H96" s="66"/>
      <c r="I96" s="66"/>
      <c r="J96" s="66"/>
      <c r="K96" s="66"/>
      <c r="L96" s="66"/>
    </row>
    <row r="97" spans="2:12" ht="14.7" thickBot="1" x14ac:dyDescent="0.6">
      <c r="B97" s="224" t="s">
        <v>650</v>
      </c>
      <c r="C97" s="246">
        <f>C91-C95-C92</f>
        <v>105.16249777817278</v>
      </c>
      <c r="D97" s="246">
        <f>D91-D95-D92</f>
        <v>188.3588427835052</v>
      </c>
      <c r="E97" s="66"/>
      <c r="F97" s="66"/>
      <c r="G97" s="66"/>
      <c r="H97" s="66"/>
      <c r="I97" s="66"/>
      <c r="J97" s="66"/>
      <c r="K97" s="66"/>
      <c r="L97" s="66"/>
    </row>
    <row r="98" spans="2:12" ht="14.7" thickBot="1" x14ac:dyDescent="0.6">
      <c r="B98" s="263" t="s">
        <v>171</v>
      </c>
      <c r="C98" s="261">
        <f>C97/C91</f>
        <v>0.92415528350515463</v>
      </c>
      <c r="D98" s="262">
        <f>D97/D91</f>
        <v>0.87203167955326466</v>
      </c>
      <c r="E98" s="66"/>
      <c r="F98" s="66"/>
      <c r="G98" s="66"/>
      <c r="H98" s="66"/>
      <c r="I98" s="66"/>
      <c r="J98" s="66"/>
      <c r="K98" s="66"/>
      <c r="L98" s="66"/>
    </row>
    <row r="99" spans="2:12" x14ac:dyDescent="0.55000000000000004">
      <c r="B99" s="66"/>
      <c r="C99" s="66"/>
      <c r="D99" s="140"/>
      <c r="E99" s="66"/>
      <c r="F99" s="66"/>
      <c r="G99" s="66"/>
      <c r="H99" s="66"/>
      <c r="I99" s="66"/>
      <c r="J99" s="66"/>
      <c r="K99" s="66"/>
      <c r="L99" s="66"/>
    </row>
    <row r="100" spans="2:12" x14ac:dyDescent="0.55000000000000004">
      <c r="B100" s="66"/>
      <c r="C100" s="66"/>
      <c r="D100" s="140"/>
      <c r="E100" s="66"/>
      <c r="F100" s="66"/>
      <c r="G100" s="66"/>
      <c r="H100" s="66"/>
      <c r="I100" s="66"/>
      <c r="J100" s="66"/>
      <c r="K100" s="66"/>
      <c r="L100" s="66"/>
    </row>
    <row r="101" spans="2:12" x14ac:dyDescent="0.55000000000000004">
      <c r="B101" s="66"/>
      <c r="C101" s="66"/>
      <c r="D101" s="140"/>
      <c r="E101" s="66"/>
      <c r="F101" s="66"/>
      <c r="G101" s="66"/>
      <c r="H101" s="66"/>
      <c r="I101" s="66"/>
      <c r="J101" s="66"/>
      <c r="K101" s="66"/>
      <c r="L101" s="66"/>
    </row>
    <row r="102" spans="2:12" x14ac:dyDescent="0.55000000000000004">
      <c r="B102" s="66"/>
      <c r="C102" s="66"/>
      <c r="D102" s="140"/>
      <c r="E102" s="66"/>
      <c r="F102" s="66"/>
      <c r="G102" s="66"/>
      <c r="H102" s="66"/>
      <c r="I102" s="66"/>
      <c r="J102" s="66"/>
      <c r="K102" s="66"/>
      <c r="L102" s="66"/>
    </row>
    <row r="103" spans="2:12" x14ac:dyDescent="0.55000000000000004">
      <c r="B103" s="66"/>
      <c r="C103" s="66"/>
      <c r="D103" s="140"/>
      <c r="E103" s="66"/>
      <c r="F103" s="66"/>
      <c r="G103" s="66"/>
      <c r="H103" s="66"/>
      <c r="I103" s="66"/>
      <c r="J103" s="66"/>
      <c r="K103" s="66"/>
      <c r="L103" s="66"/>
    </row>
    <row r="104" spans="2:12" x14ac:dyDescent="0.55000000000000004">
      <c r="B104" s="66"/>
      <c r="C104" s="66"/>
      <c r="D104" s="140"/>
      <c r="E104" s="66"/>
      <c r="F104" s="66"/>
      <c r="G104" s="66"/>
      <c r="H104" s="66"/>
      <c r="I104" s="66"/>
      <c r="J104" s="66"/>
      <c r="K104" s="66"/>
      <c r="L104" s="66"/>
    </row>
    <row r="105" spans="2:12" x14ac:dyDescent="0.55000000000000004">
      <c r="B105" s="66"/>
      <c r="C105" s="66"/>
      <c r="D105" s="140"/>
      <c r="E105" s="66"/>
      <c r="F105" s="66"/>
      <c r="G105" s="66"/>
      <c r="H105" s="66"/>
      <c r="I105" s="66"/>
      <c r="J105" s="66"/>
      <c r="K105" s="66"/>
      <c r="L105" s="66"/>
    </row>
    <row r="106" spans="2:12" x14ac:dyDescent="0.55000000000000004">
      <c r="B106" s="66"/>
      <c r="C106" s="66"/>
      <c r="D106" s="140"/>
      <c r="E106" s="66"/>
      <c r="F106" s="66"/>
      <c r="G106" s="66"/>
      <c r="H106" s="66"/>
      <c r="I106" s="66"/>
      <c r="J106" s="66"/>
      <c r="K106" s="66"/>
      <c r="L106" s="66"/>
    </row>
    <row r="107" spans="2:12" x14ac:dyDescent="0.55000000000000004">
      <c r="B107" s="66"/>
      <c r="C107" s="66"/>
      <c r="D107" s="140"/>
      <c r="E107" s="66"/>
      <c r="F107" s="66"/>
      <c r="G107" s="66"/>
      <c r="H107" s="66"/>
      <c r="I107" s="66"/>
      <c r="J107" s="66"/>
      <c r="K107" s="66"/>
      <c r="L107" s="66"/>
    </row>
    <row r="108" spans="2:12" x14ac:dyDescent="0.55000000000000004">
      <c r="B108" s="66"/>
      <c r="C108" s="66"/>
      <c r="D108" s="140"/>
      <c r="E108" s="66"/>
      <c r="F108" s="66"/>
      <c r="G108" s="66"/>
      <c r="H108" s="66"/>
      <c r="I108" s="66"/>
      <c r="J108" s="66"/>
      <c r="K108" s="66"/>
      <c r="L108" s="66"/>
    </row>
    <row r="109" spans="2:12" x14ac:dyDescent="0.55000000000000004">
      <c r="B109" s="66"/>
      <c r="C109" s="66"/>
      <c r="D109" s="140"/>
      <c r="E109" s="66"/>
      <c r="F109" s="66"/>
      <c r="G109" s="66"/>
      <c r="H109" s="66"/>
      <c r="I109" s="66"/>
      <c r="J109" s="66"/>
      <c r="K109" s="66"/>
      <c r="L109" s="66"/>
    </row>
    <row r="110" spans="2:12" x14ac:dyDescent="0.55000000000000004">
      <c r="B110" s="66"/>
      <c r="C110" s="66"/>
      <c r="D110" s="140"/>
      <c r="E110" s="66"/>
      <c r="F110" s="66"/>
      <c r="G110" s="66"/>
      <c r="H110" s="66"/>
      <c r="I110" s="66"/>
      <c r="J110" s="66"/>
      <c r="K110" s="66"/>
      <c r="L110" s="66"/>
    </row>
    <row r="111" spans="2:12" x14ac:dyDescent="0.55000000000000004">
      <c r="B111" s="66"/>
      <c r="C111" s="66"/>
      <c r="D111" s="140"/>
      <c r="E111" s="66"/>
      <c r="F111" s="66"/>
      <c r="G111" s="66"/>
      <c r="H111" s="66"/>
      <c r="I111" s="66"/>
      <c r="J111" s="66"/>
      <c r="K111" s="66"/>
      <c r="L111" s="66"/>
    </row>
    <row r="112" spans="2:12" x14ac:dyDescent="0.55000000000000004">
      <c r="B112" s="66"/>
      <c r="C112" s="66"/>
      <c r="D112" s="140"/>
      <c r="E112" s="66"/>
      <c r="F112" s="66"/>
      <c r="G112" s="66"/>
      <c r="H112" s="66"/>
      <c r="I112" s="66"/>
      <c r="J112" s="66"/>
      <c r="K112" s="66"/>
      <c r="L112" s="66"/>
    </row>
    <row r="113" spans="2:12" x14ac:dyDescent="0.55000000000000004">
      <c r="B113" s="66"/>
      <c r="C113" s="66"/>
      <c r="D113" s="140"/>
      <c r="E113" s="66"/>
      <c r="F113" s="66"/>
      <c r="G113" s="66"/>
      <c r="H113" s="66"/>
      <c r="I113" s="66"/>
      <c r="J113" s="66"/>
      <c r="K113" s="66"/>
      <c r="L113" s="66"/>
    </row>
    <row r="114" spans="2:12" x14ac:dyDescent="0.55000000000000004">
      <c r="B114" s="66"/>
      <c r="C114" s="66"/>
      <c r="D114" s="140"/>
      <c r="E114" s="66"/>
      <c r="F114" s="66"/>
      <c r="G114" s="66"/>
      <c r="H114" s="66"/>
      <c r="I114" s="66"/>
      <c r="J114" s="66"/>
      <c r="K114" s="66"/>
      <c r="L114" s="66"/>
    </row>
    <row r="115" spans="2:12" x14ac:dyDescent="0.55000000000000004">
      <c r="B115" s="66"/>
      <c r="C115" s="66"/>
      <c r="D115" s="140"/>
      <c r="E115" s="66"/>
      <c r="F115" s="66"/>
      <c r="G115" s="66"/>
      <c r="H115" s="66"/>
      <c r="I115" s="66"/>
      <c r="J115" s="66"/>
      <c r="K115" s="66"/>
      <c r="L115" s="66"/>
    </row>
    <row r="116" spans="2:12" x14ac:dyDescent="0.55000000000000004">
      <c r="B116" s="66"/>
      <c r="C116" s="66"/>
      <c r="D116" s="140"/>
      <c r="E116" s="66"/>
      <c r="F116" s="66"/>
      <c r="G116" s="66"/>
      <c r="H116" s="66"/>
      <c r="I116" s="66"/>
      <c r="J116" s="66"/>
      <c r="K116" s="66"/>
      <c r="L116" s="66"/>
    </row>
    <row r="117" spans="2:12" x14ac:dyDescent="0.55000000000000004">
      <c r="B117" s="66"/>
      <c r="C117" s="66"/>
      <c r="D117" s="140"/>
      <c r="E117" s="66"/>
      <c r="F117" s="66"/>
      <c r="G117" s="66"/>
      <c r="H117" s="66"/>
      <c r="I117" s="66"/>
      <c r="J117" s="66"/>
      <c r="K117" s="66"/>
      <c r="L117" s="66"/>
    </row>
    <row r="118" spans="2:12" x14ac:dyDescent="0.55000000000000004">
      <c r="B118" s="66"/>
      <c r="C118" s="66"/>
      <c r="D118" s="140"/>
      <c r="E118" s="66"/>
      <c r="F118" s="66"/>
      <c r="G118" s="66"/>
      <c r="H118" s="66"/>
      <c r="I118" s="66"/>
      <c r="J118" s="66"/>
      <c r="K118" s="66"/>
      <c r="L118" s="66"/>
    </row>
    <row r="119" spans="2:12" x14ac:dyDescent="0.55000000000000004">
      <c r="B119" s="66"/>
      <c r="C119" s="66"/>
      <c r="D119" s="140"/>
      <c r="E119" s="66"/>
      <c r="F119" s="66"/>
      <c r="G119" s="66"/>
      <c r="H119" s="66"/>
      <c r="I119" s="66"/>
      <c r="J119" s="66"/>
      <c r="K119" s="66"/>
      <c r="L119" s="66"/>
    </row>
    <row r="120" spans="2:12" x14ac:dyDescent="0.55000000000000004">
      <c r="B120" s="66"/>
      <c r="C120" s="66"/>
      <c r="D120" s="140"/>
      <c r="E120" s="66"/>
      <c r="F120" s="66"/>
      <c r="G120" s="66"/>
      <c r="H120" s="66"/>
      <c r="I120" s="66"/>
      <c r="J120" s="66"/>
      <c r="K120" s="66"/>
      <c r="L120" s="66"/>
    </row>
    <row r="121" spans="2:12" x14ac:dyDescent="0.55000000000000004">
      <c r="B121" s="66"/>
      <c r="C121" s="66"/>
      <c r="D121" s="140"/>
      <c r="E121" s="66"/>
      <c r="F121" s="66"/>
      <c r="G121" s="66"/>
      <c r="H121" s="66"/>
      <c r="I121" s="66"/>
      <c r="J121" s="66"/>
      <c r="K121" s="66"/>
      <c r="L121" s="66"/>
    </row>
    <row r="122" spans="2:12" x14ac:dyDescent="0.55000000000000004">
      <c r="B122" s="66" t="s">
        <v>162</v>
      </c>
      <c r="C122" s="66"/>
      <c r="D122" s="66"/>
      <c r="E122" s="66"/>
      <c r="F122" s="66"/>
      <c r="G122" s="66"/>
      <c r="H122" s="66"/>
      <c r="I122" s="66"/>
      <c r="J122" s="66"/>
      <c r="K122" s="66"/>
      <c r="L122" s="66"/>
    </row>
    <row r="123" spans="2:12" x14ac:dyDescent="0.55000000000000004">
      <c r="B123" s="66"/>
      <c r="C123" s="66"/>
      <c r="D123" s="66"/>
      <c r="E123" s="66"/>
      <c r="F123" s="66"/>
      <c r="G123" s="66"/>
      <c r="H123" s="66"/>
      <c r="I123" s="66"/>
      <c r="J123" s="66"/>
      <c r="K123" s="66"/>
      <c r="L123" s="66"/>
    </row>
    <row r="124" spans="2:12" x14ac:dyDescent="0.55000000000000004">
      <c r="B124" t="str">
        <f>Valuation!B59</f>
        <v>Payments / software</v>
      </c>
      <c r="C124" s="114">
        <f>Valuation!D77</f>
        <v>2605.5872637900097</v>
      </c>
    </row>
    <row r="125" spans="2:12" x14ac:dyDescent="0.55000000000000004">
      <c r="B125" t="s">
        <v>576</v>
      </c>
      <c r="C125" s="114">
        <f>Valuation!D81</f>
        <v>697.7782726871543</v>
      </c>
    </row>
    <row r="126" spans="2:12" x14ac:dyDescent="0.55000000000000004">
      <c r="C126" s="114">
        <f>SUM(C124:C125)</f>
        <v>3303.3655364771639</v>
      </c>
    </row>
    <row r="128" spans="2:12" x14ac:dyDescent="0.55000000000000004">
      <c r="B128" t="str">
        <f>Valuation!B78</f>
        <v>BNPL (Afterpay)</v>
      </c>
    </row>
    <row r="129" spans="2:12" x14ac:dyDescent="0.55000000000000004">
      <c r="B129" t="str">
        <f>Valuation!B79</f>
        <v>Cash App core</v>
      </c>
    </row>
    <row r="130" spans="2:12" x14ac:dyDescent="0.55000000000000004">
      <c r="B130" t="str">
        <f>B125</f>
        <v>Financial services</v>
      </c>
    </row>
    <row r="131" spans="2:12" x14ac:dyDescent="0.55000000000000004">
      <c r="J131" s="120" t="s">
        <v>279</v>
      </c>
      <c r="K131" s="120" t="s">
        <v>279</v>
      </c>
    </row>
    <row r="132" spans="2:12" x14ac:dyDescent="0.55000000000000004">
      <c r="B132" s="68" t="s">
        <v>744</v>
      </c>
      <c r="C132" s="222" t="s">
        <v>139</v>
      </c>
      <c r="D132" s="222" t="s">
        <v>140</v>
      </c>
      <c r="E132" s="222" t="str">
        <f>C36</f>
        <v>Q2 23</v>
      </c>
      <c r="F132" s="222" t="str">
        <f>D36</f>
        <v>Q3 23</v>
      </c>
      <c r="G132" s="222" t="str">
        <f>E36</f>
        <v>Q4 23</v>
      </c>
      <c r="H132" s="222" t="str">
        <f>F36</f>
        <v>Q1 24</v>
      </c>
      <c r="J132" s="222" t="str">
        <f>G132</f>
        <v>Q4 23</v>
      </c>
      <c r="K132" s="222" t="str">
        <f>H132</f>
        <v>Q1 24</v>
      </c>
    </row>
    <row r="133" spans="2:12" x14ac:dyDescent="0.55000000000000004">
      <c r="B133" s="66"/>
      <c r="E133" s="69"/>
      <c r="F133" s="69"/>
      <c r="G133" s="69"/>
      <c r="H133" s="69"/>
    </row>
    <row r="134" spans="2:12" x14ac:dyDescent="0.55000000000000004">
      <c r="B134" s="67" t="s">
        <v>162</v>
      </c>
      <c r="E134" s="69"/>
      <c r="F134" s="69"/>
      <c r="G134" s="69"/>
      <c r="H134" s="69"/>
    </row>
    <row r="135" spans="2:12" x14ac:dyDescent="0.55000000000000004">
      <c r="B135" s="66" t="s">
        <v>543</v>
      </c>
      <c r="E135" s="69"/>
      <c r="F135" s="69"/>
      <c r="G135" s="69"/>
      <c r="H135" s="69"/>
    </row>
    <row r="136" spans="2:12" x14ac:dyDescent="0.55000000000000004">
      <c r="B136" s="66" t="s">
        <v>749</v>
      </c>
      <c r="E136" s="69"/>
      <c r="F136" s="69"/>
      <c r="G136" s="69"/>
      <c r="H136" s="69">
        <v>6</v>
      </c>
    </row>
    <row r="137" spans="2:12" x14ac:dyDescent="0.55000000000000004">
      <c r="B137" s="66" t="s">
        <v>568</v>
      </c>
      <c r="C137" s="69">
        <f>G137/1.22</f>
        <v>1147.5409836065573</v>
      </c>
      <c r="D137" s="69">
        <f>H137/1.17</f>
        <v>1128.2051282051282</v>
      </c>
      <c r="E137" s="69"/>
      <c r="F137" s="69"/>
      <c r="G137" s="69">
        <v>1400</v>
      </c>
      <c r="H137" s="69">
        <v>1320</v>
      </c>
      <c r="J137" s="134">
        <f>G137/C137-1</f>
        <v>0.21999999999999997</v>
      </c>
      <c r="K137" s="134">
        <f>H137/D137-1</f>
        <v>0.16999999999999993</v>
      </c>
    </row>
    <row r="138" spans="2:12" x14ac:dyDescent="0.55000000000000004">
      <c r="B138" s="66" t="s">
        <v>745</v>
      </c>
      <c r="D138" s="69"/>
      <c r="E138" s="69"/>
      <c r="F138" s="69"/>
      <c r="G138" s="69">
        <v>137000</v>
      </c>
      <c r="H138" s="69">
        <v>129000</v>
      </c>
    </row>
    <row r="139" spans="2:12" x14ac:dyDescent="0.55000000000000004">
      <c r="B139" s="66" t="s">
        <v>746</v>
      </c>
      <c r="E139" s="69"/>
      <c r="F139" s="69"/>
      <c r="G139" s="69">
        <f>G137*1000000/G138</f>
        <v>10218.978102189782</v>
      </c>
      <c r="H139" s="69">
        <f>H137*1000000/H138</f>
        <v>10232.558139534884</v>
      </c>
    </row>
    <row r="140" spans="2:12" x14ac:dyDescent="0.55000000000000004">
      <c r="B140" s="66" t="s">
        <v>748</v>
      </c>
      <c r="C140" s="69"/>
      <c r="D140" s="69"/>
      <c r="E140" s="69"/>
      <c r="F140" s="69"/>
      <c r="H140" s="171">
        <v>0.22500000000000001</v>
      </c>
    </row>
    <row r="141" spans="2:12" x14ac:dyDescent="0.55000000000000004">
      <c r="B141" s="66"/>
      <c r="C141" s="69"/>
      <c r="D141" s="69"/>
      <c r="E141" s="69"/>
      <c r="F141" s="69"/>
    </row>
    <row r="142" spans="2:12" x14ac:dyDescent="0.55000000000000004">
      <c r="B142" s="66"/>
      <c r="C142" s="69"/>
      <c r="D142" s="69"/>
      <c r="E142" s="69"/>
      <c r="F142" s="69"/>
    </row>
    <row r="143" spans="2:12" x14ac:dyDescent="0.55000000000000004">
      <c r="B143" s="66" t="s">
        <v>872</v>
      </c>
      <c r="C143" s="185" t="str">
        <f>Interims!H289</f>
        <v>Q1 22</v>
      </c>
      <c r="D143" s="185" t="str">
        <f>Interims!I289</f>
        <v>Q2 22</v>
      </c>
      <c r="E143" s="185" t="str">
        <f>Interims!J289</f>
        <v>Q3 22</v>
      </c>
      <c r="F143" s="185" t="str">
        <f>Interims!K289</f>
        <v>Q4 22</v>
      </c>
      <c r="G143" s="185" t="str">
        <f>Interims!L289</f>
        <v>Q1 23</v>
      </c>
      <c r="H143" s="185" t="str">
        <f>Interims!M289</f>
        <v>Q2 23</v>
      </c>
      <c r="I143" s="185" t="str">
        <f>Interims!N289</f>
        <v>Q3 23</v>
      </c>
      <c r="J143" s="185" t="str">
        <f>Interims!O289</f>
        <v>Q4 23</v>
      </c>
      <c r="K143" s="185" t="str">
        <f>Interims!P289</f>
        <v>Q1 24</v>
      </c>
      <c r="L143" s="185" t="str">
        <f>Interims!Q289</f>
        <v>Q2 24</v>
      </c>
    </row>
    <row r="144" spans="2:12" x14ac:dyDescent="0.55000000000000004">
      <c r="B144" s="66" t="s">
        <v>90</v>
      </c>
      <c r="C144" s="171">
        <f>Interims!H309/Interims!H$50</f>
        <v>5.6526281509307948E-2</v>
      </c>
      <c r="D144" s="171">
        <f>Interims!I309/Interims!I$50</f>
        <v>3.2991557381223217E-2</v>
      </c>
      <c r="E144" s="171">
        <f>Interims!J309/Interims!J$50</f>
        <v>4.6670609995789016E-2</v>
      </c>
      <c r="F144" s="171">
        <f>Interims!K309/Interims!K$50</f>
        <v>4.5277473228769252E-2</v>
      </c>
      <c r="G144" s="171">
        <f>Interims!L309/Interims!L$50</f>
        <v>4.3187429978693195E-2</v>
      </c>
      <c r="H144" s="171">
        <f>Interims!M309/Interims!M$50</f>
        <v>4.5381222556489048E-2</v>
      </c>
      <c r="I144" s="171">
        <f>Interims!N309/Interims!N$50</f>
        <v>4.8141342382267742E-2</v>
      </c>
      <c r="J144" s="171">
        <f>Interims!O309/Interims!O$50</f>
        <v>4.7353325096401687E-2</v>
      </c>
      <c r="K144" s="171">
        <f>Interims!P309/Interims!P$50</f>
        <v>4.5345402421058924E-2</v>
      </c>
      <c r="L144" s="171">
        <f>Interims!Q309/Interims!Q$50</f>
        <v>4.4210822942384376E-2</v>
      </c>
    </row>
    <row r="145" spans="2:12" x14ac:dyDescent="0.55000000000000004">
      <c r="B145" s="66" t="s">
        <v>156</v>
      </c>
      <c r="C145" s="171">
        <f>Interims!H318/Interims!H60</f>
        <v>0.10286768252191884</v>
      </c>
      <c r="D145" s="171">
        <f>Interims!I318/Interims!I60</f>
        <v>3.776361619276454E-2</v>
      </c>
      <c r="E145" s="171">
        <f>Interims!J318/Interims!J60</f>
        <v>6.8324972851263779E-2</v>
      </c>
      <c r="F145" s="171">
        <f>Interims!K318/Interims!K60</f>
        <v>5.9093883526210617E-2</v>
      </c>
      <c r="G145" s="171">
        <f>Interims!L318/Interims!L60</f>
        <v>6.5723905656563608E-2</v>
      </c>
      <c r="H145" s="171">
        <f>Interims!M318/Interims!M60</f>
        <v>6.9024297063691606E-2</v>
      </c>
      <c r="I145" s="171">
        <f>Interims!N318/Interims!N60</f>
        <v>7.2389259364068537E-2</v>
      </c>
      <c r="J145" s="171">
        <f>Interims!O318/Interims!O60</f>
        <v>6.9127893746504951E-2</v>
      </c>
      <c r="K145" s="171">
        <f>Interims!P318/Interims!P60</f>
        <v>7.032723390993606E-2</v>
      </c>
      <c r="L145" s="171">
        <f>Interims!Q318/Interims!Q60</f>
        <v>5.8829815944566509E-2</v>
      </c>
    </row>
    <row r="147" spans="2:12" x14ac:dyDescent="0.55000000000000004">
      <c r="B147" s="66"/>
      <c r="C147" s="69"/>
      <c r="D147" s="69"/>
      <c r="E147" s="69"/>
      <c r="F147" s="69"/>
    </row>
    <row r="148" spans="2:12" x14ac:dyDescent="0.55000000000000004">
      <c r="B148" s="66"/>
      <c r="C148" s="66"/>
      <c r="D148" s="66"/>
      <c r="E148" s="66"/>
      <c r="F148" s="66"/>
    </row>
    <row r="149" spans="2:12" x14ac:dyDescent="0.55000000000000004">
      <c r="B149" s="66" t="s">
        <v>162</v>
      </c>
      <c r="C149" s="185" t="str">
        <f>C143</f>
        <v>Q1 22</v>
      </c>
      <c r="D149" s="185" t="str">
        <f t="shared" ref="D149:K149" si="6">D143</f>
        <v>Q2 22</v>
      </c>
      <c r="E149" s="185" t="str">
        <f t="shared" si="6"/>
        <v>Q3 22</v>
      </c>
      <c r="F149" s="185" t="str">
        <f t="shared" si="6"/>
        <v>Q4 22</v>
      </c>
      <c r="G149" s="185" t="str">
        <f t="shared" si="6"/>
        <v>Q1 23</v>
      </c>
      <c r="H149" s="185" t="str">
        <f t="shared" si="6"/>
        <v>Q2 23</v>
      </c>
      <c r="I149" s="185" t="str">
        <f t="shared" si="6"/>
        <v>Q3 23</v>
      </c>
      <c r="J149" s="185" t="str">
        <f t="shared" si="6"/>
        <v>Q4 23</v>
      </c>
      <c r="K149" s="185" t="str">
        <f t="shared" si="6"/>
        <v>Q1 24</v>
      </c>
      <c r="L149" s="185" t="str">
        <f>L143</f>
        <v>Q2 24</v>
      </c>
    </row>
    <row r="150" spans="2:12" x14ac:dyDescent="0.55000000000000004">
      <c r="B150" s="66"/>
      <c r="C150" s="134">
        <f>Interims!H19</f>
        <v>9.4296600201111885E-2</v>
      </c>
      <c r="D150" s="134">
        <f>Interims!I19</f>
        <v>9.8440381125893497E-2</v>
      </c>
      <c r="E150" s="134">
        <f>Interims!J19</f>
        <v>9.8855674951242978E-2</v>
      </c>
      <c r="F150" s="134">
        <f>Interims!K19</f>
        <v>0.11804813803951911</v>
      </c>
      <c r="G150" s="134">
        <f>Interims!L19</f>
        <v>0.1084503030101466</v>
      </c>
      <c r="H150" s="134">
        <f>Interims!M19</f>
        <v>0.11193570413154684</v>
      </c>
      <c r="I150" s="134">
        <f>Interims!N19</f>
        <v>0.11796296583730424</v>
      </c>
      <c r="J150" s="134">
        <f>Interims!O19</f>
        <v>0.12806309402851457</v>
      </c>
      <c r="K150" s="134">
        <f>Interims!P19</f>
        <v>0.12556810423859402</v>
      </c>
      <c r="L150" s="134">
        <f>Interims!Q19</f>
        <v>0.13115336923250351</v>
      </c>
    </row>
    <row r="151" spans="2:12" x14ac:dyDescent="0.55000000000000004">
      <c r="B151" s="66"/>
      <c r="C151" s="66"/>
      <c r="D151" s="66"/>
      <c r="E151" s="66"/>
      <c r="F151" s="66"/>
    </row>
    <row r="152" spans="2:12" x14ac:dyDescent="0.55000000000000004">
      <c r="B152" s="66"/>
      <c r="C152" s="66"/>
      <c r="D152" s="66"/>
      <c r="E152" s="66"/>
      <c r="F152" s="66"/>
    </row>
    <row r="153" spans="2:12" x14ac:dyDescent="0.55000000000000004">
      <c r="B153" s="66"/>
      <c r="C153" s="66"/>
      <c r="D153" s="66"/>
      <c r="E153" s="66"/>
      <c r="F153" s="66"/>
    </row>
    <row r="168" spans="2:12" x14ac:dyDescent="0.55000000000000004">
      <c r="B168" t="s">
        <v>179</v>
      </c>
      <c r="F168" s="242" t="str">
        <f t="shared" ref="F168:L168" si="7">F149</f>
        <v>Q4 22</v>
      </c>
      <c r="G168" s="242" t="str">
        <f t="shared" si="7"/>
        <v>Q1 23</v>
      </c>
      <c r="H168" s="242" t="str">
        <f t="shared" si="7"/>
        <v>Q2 23</v>
      </c>
      <c r="I168" s="242" t="str">
        <f t="shared" si="7"/>
        <v>Q3 23</v>
      </c>
      <c r="J168" s="242" t="str">
        <f t="shared" si="7"/>
        <v>Q4 23</v>
      </c>
      <c r="K168" s="242" t="str">
        <f t="shared" si="7"/>
        <v>Q1 24</v>
      </c>
      <c r="L168" s="242" t="str">
        <f t="shared" si="7"/>
        <v>Q2 24</v>
      </c>
    </row>
    <row r="169" spans="2:12" x14ac:dyDescent="0.55000000000000004">
      <c r="B169" t="s">
        <v>873</v>
      </c>
      <c r="F169" s="113">
        <f>Interims!AB17</f>
        <v>4.1678705576422947E-2</v>
      </c>
      <c r="G169" s="113">
        <f>Interims!AC17</f>
        <v>0.10677182202572166</v>
      </c>
      <c r="H169" s="113">
        <f>Interims!AD17</f>
        <v>0.16364984558721685</v>
      </c>
      <c r="I169" s="113">
        <f>Interims!AE17</f>
        <v>0.11320194388680194</v>
      </c>
      <c r="J169" s="113">
        <f>Interims!AF17</f>
        <v>0.16386632543303303</v>
      </c>
      <c r="K169" s="113">
        <f>Interims!AG17</f>
        <v>0.16334312420020081</v>
      </c>
      <c r="L169" s="113">
        <f>Interims!AH17</f>
        <v>0.12261478110955637</v>
      </c>
    </row>
    <row r="170" spans="2:12" x14ac:dyDescent="0.55000000000000004">
      <c r="B170" t="s">
        <v>874</v>
      </c>
      <c r="F170" s="113">
        <f>Interims!AB18</f>
        <v>0</v>
      </c>
      <c r="G170" s="113">
        <f>Interims!AC18</f>
        <v>0</v>
      </c>
      <c r="H170" s="113">
        <f>Interims!AD18</f>
        <v>0</v>
      </c>
      <c r="I170" s="113">
        <f>Interims!AE18</f>
        <v>0.35714285714285721</v>
      </c>
      <c r="J170" s="113">
        <f>Interims!AF18</f>
        <v>0.27710843373493965</v>
      </c>
      <c r="K170" s="113">
        <f>Interims!AG18</f>
        <v>0.37333333333333329</v>
      </c>
      <c r="L170" s="113">
        <f>Interims!AH18</f>
        <v>0.34444444444444455</v>
      </c>
    </row>
    <row r="172" spans="2:12" x14ac:dyDescent="0.55000000000000004">
      <c r="B172" t="s">
        <v>1033</v>
      </c>
      <c r="D172" s="113"/>
      <c r="E172" s="113"/>
      <c r="F172" s="113">
        <f>Interims!AB195</f>
        <v>0.14242068155111642</v>
      </c>
      <c r="G172" s="113">
        <f>Interims!AC195</f>
        <v>0.16894284269094584</v>
      </c>
      <c r="H172" s="113">
        <f>Interims!AD195</f>
        <v>0.12181479179614652</v>
      </c>
      <c r="I172" s="113">
        <f>Interims!AE195</f>
        <v>0.11290967226219029</v>
      </c>
      <c r="J172" s="113">
        <f>Interims!AF195</f>
        <v>0.10148485196461632</v>
      </c>
      <c r="K172" s="113">
        <f>Interims!AG195</f>
        <v>9.1841886629164815E-2</v>
      </c>
      <c r="L172" s="113">
        <f>Interims!AH195</f>
        <v>7.7965410895660225E-2</v>
      </c>
    </row>
    <row r="188" spans="2:21" x14ac:dyDescent="0.55000000000000004">
      <c r="B188" s="110"/>
      <c r="C188" s="111" t="str">
        <f>Interims!D2</f>
        <v>Q1 21</v>
      </c>
      <c r="D188" s="111" t="str">
        <f>Interims!E2</f>
        <v>Q2 21</v>
      </c>
      <c r="E188" s="111" t="str">
        <f>Interims!F2</f>
        <v>Q3 21</v>
      </c>
      <c r="F188" s="111" t="str">
        <f>Interims!G2</f>
        <v>Q4 21</v>
      </c>
      <c r="G188" s="111" t="str">
        <f>Interims!H2</f>
        <v>Q1 22</v>
      </c>
      <c r="H188" s="111" t="str">
        <f>Interims!I2</f>
        <v>Q2 22</v>
      </c>
      <c r="I188" s="111" t="str">
        <f>Interims!J2</f>
        <v>Q3 22</v>
      </c>
      <c r="J188" s="111" t="str">
        <f>Interims!K2</f>
        <v>Q4 22</v>
      </c>
      <c r="K188" s="111" t="str">
        <f>Interims!L2</f>
        <v>Q1 23</v>
      </c>
      <c r="L188" s="111" t="str">
        <f>Interims!M2</f>
        <v>Q2 23</v>
      </c>
      <c r="M188" s="111" t="str">
        <f>Interims!N2</f>
        <v>Q3 23</v>
      </c>
      <c r="N188" s="111" t="str">
        <f>Interims!O2</f>
        <v>Q4 23</v>
      </c>
      <c r="O188" s="111" t="str">
        <f>Interims!P2</f>
        <v>Q1 24</v>
      </c>
      <c r="P188" s="111" t="str">
        <f>Interims!Q2</f>
        <v>Q2 24</v>
      </c>
    </row>
    <row r="189" spans="2:21" x14ac:dyDescent="0.55000000000000004">
      <c r="B189" t="s">
        <v>103</v>
      </c>
      <c r="C189" s="114">
        <f>Interims!D65</f>
        <v>307.71100000000001</v>
      </c>
      <c r="D189" s="114">
        <f>Interims!E65</f>
        <v>324.05799999999999</v>
      </c>
      <c r="E189" s="114">
        <f>Interims!F65</f>
        <v>360.72899999999998</v>
      </c>
      <c r="F189" s="114">
        <f>Interims!G65</f>
        <v>391.34300000000002</v>
      </c>
      <c r="G189" s="114">
        <f>Interims!H65</f>
        <v>458.22399999999999</v>
      </c>
      <c r="H189" s="114">
        <f>Interims!I65</f>
        <v>524.827</v>
      </c>
      <c r="I189" s="114">
        <f>Interims!J65</f>
        <v>548.03700000000003</v>
      </c>
      <c r="J189" s="114">
        <f>Interims!K65</f>
        <v>604.524</v>
      </c>
      <c r="K189" s="114">
        <f>Interims!L65</f>
        <v>626.93700000000001</v>
      </c>
      <c r="L189" s="114">
        <f>Interims!M65</f>
        <v>694.67200000000003</v>
      </c>
      <c r="M189" s="114">
        <f>Interims!N65</f>
        <v>713.78800000000001</v>
      </c>
      <c r="N189" s="114">
        <f>Interims!O65</f>
        <v>685.42200000000003</v>
      </c>
      <c r="O189" s="114">
        <f>Interims!P65</f>
        <v>720.57399999999996</v>
      </c>
      <c r="P189" s="114">
        <f>Interims!Q65</f>
        <v>713.16300000000001</v>
      </c>
      <c r="Q189" s="113">
        <f t="shared" ref="Q189:Q194" si="8">L189/H189-1</f>
        <v>0.32362092651483265</v>
      </c>
      <c r="R189" s="113">
        <f t="shared" ref="R189:R194" si="9">M189/I189-1</f>
        <v>0.30244490791680123</v>
      </c>
      <c r="S189" s="113">
        <f t="shared" ref="S189:S194" si="10">N189/J189-1</f>
        <v>0.1338209897373801</v>
      </c>
      <c r="T189" s="113">
        <f>O189/K189-1</f>
        <v>0.14935631490883439</v>
      </c>
      <c r="U189" s="113">
        <f>P189/L189-1</f>
        <v>2.6618317709652839E-2</v>
      </c>
    </row>
    <row r="190" spans="2:21" x14ac:dyDescent="0.55000000000000004">
      <c r="B190" t="s">
        <v>104</v>
      </c>
      <c r="C190" s="114">
        <f>Interims!D68</f>
        <v>349.46</v>
      </c>
      <c r="D190" s="114">
        <f>Interims!E68</f>
        <v>373.87799999999999</v>
      </c>
      <c r="E190" s="114">
        <f>Interims!F68</f>
        <v>409.07299999999998</v>
      </c>
      <c r="F190" s="114">
        <f>Interims!G68</f>
        <v>484.77800000000002</v>
      </c>
      <c r="G190" s="114">
        <f>Interims!H68</f>
        <v>501.56200000000001</v>
      </c>
      <c r="H190" s="114">
        <f>Interims!I68</f>
        <v>530.827</v>
      </c>
      <c r="I190" s="114">
        <f>Interims!J68</f>
        <v>485.83800000000002</v>
      </c>
      <c r="J190" s="114">
        <f>Interims!K68</f>
        <v>539.72400000000005</v>
      </c>
      <c r="K190" s="114">
        <f>Interims!L68</f>
        <v>496.01100000000002</v>
      </c>
      <c r="L190" s="114">
        <f>Interims!M68</f>
        <v>537.60699999999997</v>
      </c>
      <c r="M190" s="114">
        <f>Interims!N68</f>
        <v>479.38099999999997</v>
      </c>
      <c r="N190" s="114">
        <f>Interims!O68</f>
        <v>506.01</v>
      </c>
      <c r="O190" s="114">
        <f>Interims!P68</f>
        <v>443.88499999999999</v>
      </c>
      <c r="P190" s="114">
        <f>Interims!Q68</f>
        <v>507.56200000000001</v>
      </c>
      <c r="Q190" s="113">
        <f t="shared" si="8"/>
        <v>1.2772522874684222E-2</v>
      </c>
      <c r="R190" s="113">
        <f t="shared" si="9"/>
        <v>-1.3290438376578284E-2</v>
      </c>
      <c r="S190" s="113">
        <f t="shared" si="10"/>
        <v>-6.2465260021788982E-2</v>
      </c>
      <c r="T190" s="113">
        <f t="shared" ref="T190:U194" si="11">O190/K190-1</f>
        <v>-0.10509041130136232</v>
      </c>
      <c r="U190" s="113">
        <f t="shared" si="11"/>
        <v>-5.5886549096272886E-2</v>
      </c>
    </row>
    <row r="191" spans="2:21" x14ac:dyDescent="0.55000000000000004">
      <c r="B191" t="s">
        <v>105</v>
      </c>
      <c r="C191" s="114">
        <f>Interims!D71</f>
        <v>195.78299999999999</v>
      </c>
      <c r="D191" s="114">
        <f>Interims!E71</f>
        <v>220.892</v>
      </c>
      <c r="E191" s="114">
        <f>Interims!F71</f>
        <v>267.34800000000001</v>
      </c>
      <c r="F191" s="114">
        <f>Interims!G71</f>
        <v>298.79399999999998</v>
      </c>
      <c r="G191" s="114">
        <f>Interims!H71</f>
        <v>444.149</v>
      </c>
      <c r="H191" s="114">
        <f>Interims!I71</f>
        <v>395.72</v>
      </c>
      <c r="I191" s="114">
        <f>Interims!J71</f>
        <v>395.43700000000001</v>
      </c>
      <c r="J191" s="114">
        <f>Interims!K71</f>
        <v>451.54300000000001</v>
      </c>
      <c r="K191" s="114">
        <f>Interims!L71</f>
        <v>432.82499999999999</v>
      </c>
      <c r="L191" s="114">
        <f>Interims!M71</f>
        <v>549.29300000000001</v>
      </c>
      <c r="M191" s="114">
        <f>Interims!N71</f>
        <v>480.88499999999999</v>
      </c>
      <c r="N191" s="114">
        <f>Interims!O71</f>
        <v>746.18700000000001</v>
      </c>
      <c r="O191" s="114">
        <f>Interims!P71</f>
        <v>471.26</v>
      </c>
      <c r="P191" s="114">
        <f>Interims!Q71</f>
        <v>473.56799999999998</v>
      </c>
      <c r="Q191" s="113">
        <f t="shared" si="8"/>
        <v>0.38808500960274928</v>
      </c>
      <c r="R191" s="113">
        <f t="shared" si="9"/>
        <v>0.21608498951792576</v>
      </c>
      <c r="S191" s="113">
        <f t="shared" si="10"/>
        <v>0.65252700185807333</v>
      </c>
      <c r="T191" s="113">
        <f t="shared" si="11"/>
        <v>8.8800323456362351E-2</v>
      </c>
      <c r="U191" s="113">
        <f t="shared" si="11"/>
        <v>-0.13785902969817565</v>
      </c>
    </row>
    <row r="192" spans="2:21" x14ac:dyDescent="0.55000000000000004">
      <c r="B192" t="s">
        <v>875</v>
      </c>
      <c r="C192" s="114">
        <f>Interims!D74</f>
        <v>20.395</v>
      </c>
      <c r="D192" s="114">
        <f>Interims!E74</f>
        <v>48.173000000000002</v>
      </c>
      <c r="E192" s="114">
        <f>Interims!F74</f>
        <v>62.305999999999997</v>
      </c>
      <c r="F192" s="114">
        <f>Interims!G74</f>
        <v>57.116999999999997</v>
      </c>
      <c r="G192" s="114">
        <f>Interims!H74</f>
        <v>91.15</v>
      </c>
      <c r="H192" s="114">
        <f>Interims!I74</f>
        <v>156.697</v>
      </c>
      <c r="I192" s="114">
        <f>Interims!J74</f>
        <v>147.58600000000001</v>
      </c>
      <c r="J192" s="114">
        <f>Interims!K74</f>
        <v>155.25</v>
      </c>
      <c r="K192" s="114">
        <f>Interims!L74</f>
        <v>127.896</v>
      </c>
      <c r="L192" s="114">
        <f>Interims!M74</f>
        <v>179.77099999999999</v>
      </c>
      <c r="M192" s="114">
        <f>Interims!N74</f>
        <v>177.33799999999999</v>
      </c>
      <c r="N192" s="114">
        <f>Interims!O74</f>
        <v>175.65799999999999</v>
      </c>
      <c r="O192" s="114">
        <f>Interims!P74</f>
        <v>165.72900000000001</v>
      </c>
      <c r="P192" s="114">
        <f>Interims!Q74</f>
        <v>191.81200000000001</v>
      </c>
      <c r="Q192" s="113">
        <f t="shared" si="8"/>
        <v>0.14725234050428515</v>
      </c>
      <c r="R192" s="113">
        <f t="shared" si="9"/>
        <v>0.2015909368097244</v>
      </c>
      <c r="S192" s="113">
        <f t="shared" si="10"/>
        <v>0.13145249597423492</v>
      </c>
      <c r="T192" s="113">
        <f t="shared" si="11"/>
        <v>0.29581065866016143</v>
      </c>
      <c r="U192" s="113">
        <f t="shared" si="11"/>
        <v>6.69796574530932E-2</v>
      </c>
    </row>
    <row r="193" spans="2:21" x14ac:dyDescent="0.55000000000000004">
      <c r="B193" t="s">
        <v>25</v>
      </c>
      <c r="C193" s="114">
        <f>Interims!D75</f>
        <v>19.86</v>
      </c>
      <c r="D193" s="114">
        <f>Interims!E75</f>
        <v>45.265999999999998</v>
      </c>
      <c r="E193" s="114">
        <f>Interims!F75</f>
        <v>6</v>
      </c>
      <c r="F193" s="114">
        <f>Interims!G75</f>
        <v>0</v>
      </c>
      <c r="G193" s="114">
        <f>Interims!H75</f>
        <v>0</v>
      </c>
      <c r="H193" s="114">
        <f>Interims!I75</f>
        <v>35.960999999999999</v>
      </c>
      <c r="I193" s="114">
        <f>Interims!J75</f>
        <v>1.619</v>
      </c>
      <c r="J193" s="114">
        <f>Interims!K75</f>
        <v>8.9909999999999997</v>
      </c>
      <c r="K193" s="114">
        <f>Interims!L75</f>
        <v>0</v>
      </c>
      <c r="L193" s="114">
        <f>Interims!M75</f>
        <v>0</v>
      </c>
      <c r="M193" s="114">
        <f>Interims!N75</f>
        <v>0</v>
      </c>
      <c r="N193" s="114">
        <f>Interims!O75</f>
        <v>0</v>
      </c>
      <c r="O193" s="114">
        <f>Interims!P75</f>
        <v>0</v>
      </c>
      <c r="P193" s="114">
        <f>Interims!Q75</f>
        <v>0</v>
      </c>
      <c r="Q193" s="113">
        <f t="shared" si="8"/>
        <v>-1</v>
      </c>
      <c r="R193" s="113">
        <f t="shared" si="9"/>
        <v>-1</v>
      </c>
      <c r="S193" s="113">
        <f t="shared" si="10"/>
        <v>-1</v>
      </c>
      <c r="T193" s="113" t="e">
        <f t="shared" si="11"/>
        <v>#DIV/0!</v>
      </c>
      <c r="U193" s="113" t="e">
        <f t="shared" si="11"/>
        <v>#DIV/0!</v>
      </c>
    </row>
    <row r="194" spans="2:21" x14ac:dyDescent="0.55000000000000004">
      <c r="B194" t="s">
        <v>876</v>
      </c>
      <c r="C194" s="114">
        <f>Interims!D76</f>
        <v>2.5569999999999999</v>
      </c>
      <c r="D194" s="114">
        <f>Interims!E76</f>
        <v>3.802</v>
      </c>
      <c r="E194" s="114">
        <f>Interims!F76</f>
        <v>4.7629999999999999</v>
      </c>
      <c r="F194" s="114">
        <f>Interims!G76</f>
        <v>4.625</v>
      </c>
      <c r="G194" s="114">
        <f>Interims!H76</f>
        <v>26.664000000000001</v>
      </c>
      <c r="H194" s="114">
        <f>Interims!I76</f>
        <v>39.389000000000003</v>
      </c>
      <c r="I194" s="114">
        <f>Interims!J76</f>
        <v>37.360999999999997</v>
      </c>
      <c r="J194" s="114">
        <f>Interims!K76</f>
        <v>35.344000000000001</v>
      </c>
      <c r="K194" s="114">
        <f>Interims!L76</f>
        <v>37.087000000000003</v>
      </c>
      <c r="L194" s="114">
        <f>Interims!M76</f>
        <v>36.865000000000002</v>
      </c>
      <c r="M194" s="114">
        <f>Interims!N76</f>
        <v>56.965000000000003</v>
      </c>
      <c r="N194" s="114">
        <f>Interims!O76</f>
        <v>43.127000000000002</v>
      </c>
      <c r="O194" s="114">
        <f>Interims!P76</f>
        <v>43.281999999999996</v>
      </c>
      <c r="P194" s="114">
        <f>Interims!Q76</f>
        <v>40.813000000000002</v>
      </c>
      <c r="Q194" s="113">
        <f t="shared" si="8"/>
        <v>-6.4078803726928868E-2</v>
      </c>
      <c r="R194" s="113">
        <f t="shared" si="9"/>
        <v>0.52471828912502372</v>
      </c>
      <c r="S194" s="113">
        <f t="shared" si="10"/>
        <v>0.22020710728836579</v>
      </c>
      <c r="T194" s="113">
        <f t="shared" si="11"/>
        <v>0.16703966349394639</v>
      </c>
      <c r="U194" s="113">
        <f t="shared" si="11"/>
        <v>0.10709344907093454</v>
      </c>
    </row>
    <row r="195" spans="2:21" x14ac:dyDescent="0.55000000000000004">
      <c r="B195" t="str">
        <f>Interims!C77</f>
        <v xml:space="preserve">          Total operating expenses</v>
      </c>
      <c r="C195" s="114">
        <f>Interims!D77</f>
        <v>895.76599999999996</v>
      </c>
      <c r="D195" s="114">
        <f>Interims!E77</f>
        <v>1016.069</v>
      </c>
      <c r="E195" s="114">
        <f>Interims!F77</f>
        <v>1110.2190000000001</v>
      </c>
      <c r="F195" s="114">
        <f>Interims!G77</f>
        <v>1236.6569999999999</v>
      </c>
      <c r="G195" s="114">
        <f>Interims!H77</f>
        <v>1521.749</v>
      </c>
      <c r="H195" s="114">
        <f>Interims!I77</f>
        <v>1683.421</v>
      </c>
      <c r="I195" s="114">
        <f>Interims!J77</f>
        <v>1615.8779999999999</v>
      </c>
      <c r="J195" s="114">
        <f>Interims!K77</f>
        <v>1795.376</v>
      </c>
      <c r="K195" s="114">
        <f>Interims!L77</f>
        <v>1720.7560000000001</v>
      </c>
      <c r="L195" s="114">
        <f>Interims!M77</f>
        <v>1998.2080000000001</v>
      </c>
      <c r="M195" s="114">
        <f>Interims!N77</f>
        <v>1908.357</v>
      </c>
      <c r="N195" s="114">
        <f>Interims!O77</f>
        <v>2156.404</v>
      </c>
      <c r="O195" s="114">
        <f>Interims!P77</f>
        <v>1844.73</v>
      </c>
      <c r="P195" s="114">
        <f>Interims!Q77</f>
        <v>1926.9179999999999</v>
      </c>
    </row>
    <row r="222" spans="2:10" x14ac:dyDescent="0.55000000000000004">
      <c r="B222" t="s">
        <v>877</v>
      </c>
    </row>
    <row r="224" spans="2:10" x14ac:dyDescent="0.55000000000000004">
      <c r="C224" s="89" t="str">
        <f>Interims!L2</f>
        <v>Q1 23</v>
      </c>
      <c r="D224" s="89" t="str">
        <f>Interims!M2</f>
        <v>Q2 23</v>
      </c>
      <c r="E224" s="89" t="str">
        <f>Interims!N2</f>
        <v>Q3 23</v>
      </c>
      <c r="F224" s="89" t="str">
        <f>Interims!O2</f>
        <v>Q4 23</v>
      </c>
      <c r="G224" s="89" t="str">
        <f>Interims!P2</f>
        <v>Q1 24</v>
      </c>
      <c r="H224" s="89" t="str">
        <f>Interims!Q2</f>
        <v>Q2 24</v>
      </c>
      <c r="I224" s="89" t="str">
        <f>Interims!R2</f>
        <v>Q3 24e</v>
      </c>
      <c r="J224" s="89" t="str">
        <f>Interims!S2</f>
        <v>Q4 24e</v>
      </c>
    </row>
    <row r="225" spans="2:15" x14ac:dyDescent="0.55000000000000004">
      <c r="B225" t="s">
        <v>315</v>
      </c>
      <c r="C225" s="113">
        <f>Interims!AC96</f>
        <v>0.24408658599147204</v>
      </c>
      <c r="D225" s="113">
        <f>Interims!AD96</f>
        <v>0.17004395765063363</v>
      </c>
      <c r="E225" s="113">
        <f>Interims!AE96</f>
        <v>0.17836606680990963</v>
      </c>
      <c r="F225" s="113">
        <f>Interims!AF96</f>
        <v>8.7800720896848317E-2</v>
      </c>
      <c r="G225" s="113">
        <f>Interims!AG96</f>
        <v>4.0032820192232421E-2</v>
      </c>
      <c r="H225" s="113">
        <f>Interims!AH96</f>
        <v>-3.390195164408194E-3</v>
      </c>
      <c r="I225" s="113">
        <f>Interims!AI96</f>
        <v>5.5342635120579908E-2</v>
      </c>
      <c r="J225" s="113">
        <f>Interims!AJ96</f>
        <v>7.4599885267257138E-2</v>
      </c>
    </row>
    <row r="227" spans="2:15" x14ac:dyDescent="0.55000000000000004">
      <c r="C227" t="str">
        <f>Interims!H2</f>
        <v>Q1 22</v>
      </c>
      <c r="D227" t="str">
        <f>Interims!I2</f>
        <v>Q2 22</v>
      </c>
      <c r="E227" t="str">
        <f>Interims!J2</f>
        <v>Q3 22</v>
      </c>
      <c r="F227" t="str">
        <f>Interims!K2</f>
        <v>Q4 22</v>
      </c>
      <c r="G227" t="str">
        <f>Interims!L2</f>
        <v>Q1 23</v>
      </c>
      <c r="H227" t="str">
        <f>Interims!M2</f>
        <v>Q2 23</v>
      </c>
      <c r="I227" t="str">
        <f>Interims!N2</f>
        <v>Q3 23</v>
      </c>
      <c r="J227" t="str">
        <f>Interims!O2</f>
        <v>Q4 23</v>
      </c>
      <c r="K227" t="str">
        <f>Interims!P2</f>
        <v>Q1 24</v>
      </c>
      <c r="L227" t="str">
        <f>Interims!Q2</f>
        <v>Q2 24</v>
      </c>
      <c r="M227" t="str">
        <f>Interims!R2</f>
        <v>Q3 24e</v>
      </c>
      <c r="N227" t="str">
        <f>Interims!S2</f>
        <v>Q4 24e</v>
      </c>
    </row>
    <row r="228" spans="2:15" x14ac:dyDescent="0.55000000000000004">
      <c r="B228" t="s">
        <v>883</v>
      </c>
      <c r="C228" s="113">
        <f>Interims!H94</f>
        <v>-3.2629579292024459E-2</v>
      </c>
      <c r="D228" s="113">
        <f>Interims!I94</f>
        <v>-7.0395768238380896E-2</v>
      </c>
      <c r="E228" s="113">
        <f>Interims!J94</f>
        <v>2.052659421385767E-2</v>
      </c>
      <c r="F228" s="113">
        <f>Interims!K94</f>
        <v>-1.9192926132171221E-2</v>
      </c>
      <c r="G228" s="113">
        <f>Interims!L94</f>
        <v>2.9729660372428527E-2</v>
      </c>
      <c r="H228" s="113">
        <f>Interims!M94</f>
        <v>1.366431934820248E-2</v>
      </c>
      <c r="I228" s="113">
        <f>Interims!N94</f>
        <v>4.7274907042538401E-2</v>
      </c>
      <c r="J228" s="113">
        <f>Interims!O94</f>
        <v>9.138779080558726E-2</v>
      </c>
      <c r="K228" s="113">
        <f>Interims!P94</f>
        <v>0.17391678002055888</v>
      </c>
      <c r="L228" s="113">
        <f>Interims!Q94</f>
        <v>0.17869781685978831</v>
      </c>
      <c r="M228" s="113">
        <f>Interims!R94</f>
        <v>0.14740050998851503</v>
      </c>
      <c r="N228" s="113">
        <f>Interims!S94</f>
        <v>0.15134116332413985</v>
      </c>
      <c r="O228" s="113"/>
    </row>
    <row r="249" spans="2:20" x14ac:dyDescent="0.55000000000000004">
      <c r="B249" t="s">
        <v>884</v>
      </c>
      <c r="C249" s="89" t="str">
        <f>Interims!E240</f>
        <v>Q2 21</v>
      </c>
      <c r="D249" s="89" t="str">
        <f>Interims!F240</f>
        <v>Q3 21</v>
      </c>
      <c r="E249" s="89" t="str">
        <f>Interims!G240</f>
        <v>Q4 21</v>
      </c>
      <c r="F249" s="89" t="str">
        <f>Interims!H240</f>
        <v>Q1 22</v>
      </c>
      <c r="G249" s="89" t="str">
        <f>Interims!I240</f>
        <v>Q2 22</v>
      </c>
      <c r="H249" s="89" t="str">
        <f>Interims!J240</f>
        <v>Q3 22</v>
      </c>
      <c r="I249" s="89" t="str">
        <f>Interims!K240</f>
        <v>Q4 22</v>
      </c>
      <c r="J249" s="89" t="str">
        <f>Interims!L240</f>
        <v>Q1 23</v>
      </c>
      <c r="K249" s="89" t="str">
        <f>Interims!M240</f>
        <v>Q2 23</v>
      </c>
      <c r="L249" s="89" t="str">
        <f>Interims!N240</f>
        <v>Q3 23</v>
      </c>
      <c r="M249" s="89" t="str">
        <f>Interims!O240</f>
        <v>Q4 23</v>
      </c>
      <c r="N249" s="89" t="str">
        <f>Interims!P240</f>
        <v>Q1 24</v>
      </c>
      <c r="O249" s="89" t="str">
        <f>Interims!Q240</f>
        <v>Q2 24</v>
      </c>
    </row>
    <row r="250" spans="2:20" x14ac:dyDescent="0.55000000000000004">
      <c r="B250" t="s">
        <v>1022</v>
      </c>
      <c r="C250" s="287"/>
      <c r="D250" s="287"/>
      <c r="E250" s="287"/>
      <c r="F250" s="287"/>
      <c r="G250" s="287">
        <f>Interims!Z60</f>
        <v>0.28796168491716068</v>
      </c>
      <c r="H250" s="287">
        <f>Interims!AA60</f>
        <v>0.38286997612986062</v>
      </c>
      <c r="I250" s="287">
        <f>Interims!AB60</f>
        <v>0.40451439119760546</v>
      </c>
      <c r="J250" s="287">
        <f>Interims!AC60</f>
        <v>0.32404398591462291</v>
      </c>
      <c r="K250" s="287">
        <f>Interims!AD60</f>
        <v>0.26976051408228385</v>
      </c>
      <c r="L250" s="287">
        <f>Interims!AE60</f>
        <v>0.21144938162414517</v>
      </c>
      <c r="M250" s="287">
        <f>Interims!AF60</f>
        <v>0.22018919464279807</v>
      </c>
      <c r="N250" s="287">
        <f>Interims!AG60</f>
        <v>0.22156336464121895</v>
      </c>
      <c r="O250" s="287">
        <f>Interims!AH60</f>
        <v>0.19686983716315454</v>
      </c>
    </row>
    <row r="251" spans="2:20" x14ac:dyDescent="0.55000000000000004">
      <c r="B251" t="s">
        <v>162</v>
      </c>
      <c r="C251" s="114"/>
      <c r="D251" s="114"/>
      <c r="E251" s="114"/>
      <c r="F251" s="113"/>
      <c r="G251" s="113">
        <f>(Interims!I221-Interims!E221)/(Interims!I$60-Interims!E$60)*G250</f>
        <v>4.6666088259652197E-2</v>
      </c>
      <c r="H251" s="113">
        <f>(Interims!J221-Interims!F221)/(Interims!J$60-Interims!F$60)*H250</f>
        <v>3.7580723869698136E-2</v>
      </c>
      <c r="I251" s="113">
        <f>(Interims!K221-Interims!G221)/(Interims!K$60-Interims!G$60)*I250</f>
        <v>3.5941963145133558E-2</v>
      </c>
      <c r="J251" s="113">
        <f>(Interims!L221-Interims!H221)/(Interims!L$60-Interims!H$60)*J250</f>
        <v>3.0811237412738637E-2</v>
      </c>
      <c r="K251" s="113">
        <f>(Interims!M221-Interims!I221)/(Interims!M$60-Interims!I$60)*K250</f>
        <v>2.6897651682579762E-2</v>
      </c>
      <c r="L251" s="113">
        <f>(Interims!N221-Interims!J221)/(Interims!N$60-Interims!J$60)*L250</f>
        <v>1.6307679397915508E-2</v>
      </c>
      <c r="M251" s="113">
        <f>(Interims!O221-Interims!K221)/(Interims!O$60-Interims!K$60)*M250</f>
        <v>2.5733892705374992E-2</v>
      </c>
      <c r="N251" s="113">
        <f>(Interims!P221-Interims!L221)/(Interims!P$60-Interims!L$60)*N250</f>
        <v>2.936593366087633E-2</v>
      </c>
      <c r="O251" s="113">
        <f>(Interims!Q221-Interims!M221)/(Interims!Q$60-Interims!M$60)*O250</f>
        <v>2.3228855244169535E-2</v>
      </c>
    </row>
    <row r="252" spans="2:20" x14ac:dyDescent="0.55000000000000004">
      <c r="B252" t="s">
        <v>163</v>
      </c>
      <c r="C252" s="113"/>
      <c r="D252" s="113"/>
      <c r="E252" s="113"/>
      <c r="F252" s="113"/>
      <c r="G252" s="113">
        <f>G251/Interims!I60</f>
        <v>3.1753241769221063E-5</v>
      </c>
      <c r="H252" s="113">
        <f>H251/Interims!J60</f>
        <v>2.3981231359353641E-5</v>
      </c>
      <c r="I252" s="113">
        <f>I251/Interims!K60</f>
        <v>2.1649241893352021E-5</v>
      </c>
      <c r="J252" s="113">
        <f>J251/Interims!L60</f>
        <v>1.7970095027562742E-5</v>
      </c>
      <c r="K252" s="113">
        <f>K251/Interims!M60</f>
        <v>1.44138241620254E-5</v>
      </c>
      <c r="L252" s="113">
        <f>L251/Interims!N60</f>
        <v>8.5900013104989954E-6</v>
      </c>
      <c r="M252" s="113">
        <f>M251/Interims!O60</f>
        <v>1.2703377661912709E-5</v>
      </c>
      <c r="N252" s="113">
        <f>N251/Interims!P60</f>
        <v>1.4020679025643362E-5</v>
      </c>
      <c r="O252" s="113">
        <f>O251/Interims!Q60</f>
        <v>1.0400296955499729E-5</v>
      </c>
    </row>
    <row r="253" spans="2:20" x14ac:dyDescent="0.55000000000000004">
      <c r="C253" s="113"/>
      <c r="D253" s="113"/>
      <c r="E253" s="113"/>
      <c r="F253" s="113"/>
      <c r="G253" s="113">
        <f>H253-1.5%</f>
        <v>0.15349758640509542</v>
      </c>
      <c r="H253" s="113">
        <f>I255</f>
        <v>0.16849758640509541</v>
      </c>
      <c r="I253" s="113">
        <f>H253+1.5%</f>
        <v>0.18349758640509539</v>
      </c>
      <c r="J253" s="113">
        <f t="shared" ref="J253:O253" si="12">I253+1%</f>
        <v>0.1934975864050954</v>
      </c>
      <c r="K253" s="113">
        <f t="shared" si="12"/>
        <v>0.20349758640509541</v>
      </c>
      <c r="L253" s="113">
        <f t="shared" si="12"/>
        <v>0.21349758640509542</v>
      </c>
      <c r="M253" s="113">
        <f t="shared" si="12"/>
        <v>0.22349758640509543</v>
      </c>
      <c r="N253" s="113">
        <f t="shared" si="12"/>
        <v>0.23349758640509544</v>
      </c>
      <c r="O253" s="113">
        <f t="shared" si="12"/>
        <v>0.24349758640509545</v>
      </c>
    </row>
    <row r="254" spans="2:20" x14ac:dyDescent="0.55000000000000004">
      <c r="I254" s="114">
        <f>Master!G292</f>
        <v>1009.6193399999999</v>
      </c>
      <c r="M254" s="114">
        <f>Master!H292</f>
        <v>1642.9159399999999</v>
      </c>
    </row>
    <row r="255" spans="2:20" x14ac:dyDescent="0.55000000000000004">
      <c r="I255" s="113">
        <f>I254/Master!G54</f>
        <v>0.16849758640509541</v>
      </c>
      <c r="M255" s="113">
        <f>(M254-I254)/(Master!H54-Master!G54)</f>
        <v>0.41857178547965146</v>
      </c>
    </row>
    <row r="256" spans="2:20" x14ac:dyDescent="0.55000000000000004">
      <c r="M256" s="114"/>
      <c r="T256" s="113"/>
    </row>
    <row r="257" spans="2:20" x14ac:dyDescent="0.55000000000000004">
      <c r="C257" s="113"/>
      <c r="M257" s="114"/>
      <c r="T257" s="113"/>
    </row>
    <row r="258" spans="2:20" x14ac:dyDescent="0.55000000000000004">
      <c r="B258" t="s">
        <v>873</v>
      </c>
      <c r="C258" s="113"/>
      <c r="M258" s="114"/>
      <c r="O258" s="113">
        <f>Interims!AH17</f>
        <v>0.12261478110955637</v>
      </c>
      <c r="T258" s="113"/>
    </row>
    <row r="259" spans="2:20" x14ac:dyDescent="0.55000000000000004">
      <c r="C259" s="113"/>
      <c r="M259" s="114"/>
      <c r="T259" s="113"/>
    </row>
    <row r="260" spans="2:20" x14ac:dyDescent="0.55000000000000004">
      <c r="M260" s="114"/>
      <c r="T260" s="113"/>
    </row>
    <row r="261" spans="2:20" x14ac:dyDescent="0.55000000000000004">
      <c r="M261" s="114"/>
      <c r="T261" s="113"/>
    </row>
    <row r="262" spans="2:20" x14ac:dyDescent="0.55000000000000004">
      <c r="M262" s="114"/>
      <c r="T262" s="113"/>
    </row>
    <row r="263" spans="2:20" x14ac:dyDescent="0.55000000000000004">
      <c r="M263" s="113"/>
    </row>
    <row r="279" spans="2:12" x14ac:dyDescent="0.55000000000000004">
      <c r="B279" t="s">
        <v>885</v>
      </c>
    </row>
    <row r="280" spans="2:12" x14ac:dyDescent="0.55000000000000004">
      <c r="C280" t="str">
        <f>Interims!H2</f>
        <v>Q1 22</v>
      </c>
      <c r="D280" t="str">
        <f>Interims!I2</f>
        <v>Q2 22</v>
      </c>
      <c r="E280" t="str">
        <f>Interims!J2</f>
        <v>Q3 22</v>
      </c>
      <c r="F280" t="str">
        <f>Interims!K2</f>
        <v>Q4 22</v>
      </c>
      <c r="G280" t="str">
        <f>Interims!L2</f>
        <v>Q1 23</v>
      </c>
      <c r="H280" t="str">
        <f>Interims!M2</f>
        <v>Q2 23</v>
      </c>
      <c r="I280" t="str">
        <f>Interims!N2</f>
        <v>Q3 23</v>
      </c>
      <c r="J280" t="str">
        <f>Interims!O2</f>
        <v>Q4 23</v>
      </c>
      <c r="K280" t="str">
        <f>Interims!P2</f>
        <v>Q1 24</v>
      </c>
      <c r="L280" t="str">
        <f>Interims!Q2</f>
        <v>Q2 24</v>
      </c>
    </row>
    <row r="281" spans="2:12" x14ac:dyDescent="0.55000000000000004">
      <c r="B281" t="s">
        <v>430</v>
      </c>
      <c r="C281" s="113">
        <f>Interims!Y30</f>
        <v>0.3518058064320817</v>
      </c>
      <c r="D281" s="113">
        <f>Interims!Z30</f>
        <v>0.42791450646732088</v>
      </c>
      <c r="E281" s="113">
        <f>Interims!AA30</f>
        <v>0.65977808002876603</v>
      </c>
      <c r="F281" s="113">
        <f>Interims!AB30</f>
        <v>0.82805795287030559</v>
      </c>
      <c r="G281" s="113">
        <f>Interims!AC30</f>
        <v>0.50784525817054216</v>
      </c>
      <c r="H281" s="113">
        <f>Interims!AD30</f>
        <v>0.34957298609623755</v>
      </c>
      <c r="I281" s="113">
        <f>Interims!AE30</f>
        <v>0.26862722011926965</v>
      </c>
      <c r="J281" s="113">
        <f>Interims!AF30</f>
        <v>0.25105317113898895</v>
      </c>
      <c r="K281" s="113">
        <f>Interims!AG30</f>
        <v>0.24612309075462857</v>
      </c>
      <c r="L281" s="113">
        <f>Interims!AH30</f>
        <v>0.23440322726257601</v>
      </c>
    </row>
    <row r="282" spans="2:12" x14ac:dyDescent="0.55000000000000004">
      <c r="B282" t="s">
        <v>163</v>
      </c>
      <c r="C282" s="113">
        <f>(Interims!H30-Interims!D30)/(Interims!H$60-Interims!D$60)*C281</f>
        <v>0.18501434032856176</v>
      </c>
      <c r="D282" s="113">
        <f>(Interims!I30-Interims!E30)/(Interims!I$60-Interims!E$60)*D281</f>
        <v>0.30430124272765208</v>
      </c>
      <c r="E282" s="113">
        <f>(Interims!J30-Interims!F30)/(Interims!J$60-Interims!F$60)*E281</f>
        <v>0.51340623222694137</v>
      </c>
      <c r="F282" s="113">
        <f>(Interims!K30-Interims!G30)/(Interims!K$60-Interims!G$60)*F281</f>
        <v>0.74223764030834161</v>
      </c>
      <c r="G282" s="113">
        <f>(Interims!L30-Interims!H30)/(Interims!L$60-Interims!H$60)*G281</f>
        <v>0.41166818358905033</v>
      </c>
      <c r="H282" s="113">
        <f>(Interims!M30-Interims!I30)/(Interims!M$60-Interims!I$60)*H281</f>
        <v>0.24033721443469783</v>
      </c>
      <c r="I282" s="113">
        <f>(Interims!N30-Interims!J30)/(Interims!N$60-Interims!J$60)*I281</f>
        <v>0.18496049339902779</v>
      </c>
      <c r="J282" s="113">
        <f>(Interims!O30-Interims!K30)/(Interims!O$60-Interims!K$60)*J281</f>
        <v>0.16313782661811962</v>
      </c>
      <c r="K282" s="113">
        <f>(Interims!P30-Interims!L30)/(Interims!P$60-Interims!L$60)*K281</f>
        <v>0.16104587139440815</v>
      </c>
      <c r="L282" s="113">
        <f>(Interims!Q30-Interims!M30)/(Interims!Q$60-Interims!M$60)*L281</f>
        <v>0.15737879855233894</v>
      </c>
    </row>
    <row r="283" spans="2:12" x14ac:dyDescent="0.55000000000000004">
      <c r="B283" t="s">
        <v>162</v>
      </c>
      <c r="C283" s="113">
        <f t="shared" ref="C283:J283" si="13">C281-C282</f>
        <v>0.16679146610351994</v>
      </c>
      <c r="D283" s="113">
        <f t="shared" si="13"/>
        <v>0.1236132637396688</v>
      </c>
      <c r="E283" s="113">
        <f t="shared" si="13"/>
        <v>0.14637184780182466</v>
      </c>
      <c r="F283" s="113">
        <f t="shared" si="13"/>
        <v>8.5820312561963985E-2</v>
      </c>
      <c r="G283" s="113">
        <f t="shared" si="13"/>
        <v>9.6177074581491828E-2</v>
      </c>
      <c r="H283" s="113">
        <f t="shared" si="13"/>
        <v>0.10923577166153972</v>
      </c>
      <c r="I283" s="113">
        <f t="shared" si="13"/>
        <v>8.3666726720241863E-2</v>
      </c>
      <c r="J283" s="113">
        <f t="shared" si="13"/>
        <v>8.7915344520869326E-2</v>
      </c>
      <c r="K283" s="113">
        <f>K281-K282</f>
        <v>8.5077219360220419E-2</v>
      </c>
      <c r="L283" s="113">
        <f>L281-L282</f>
        <v>7.7024428710237069E-2</v>
      </c>
    </row>
    <row r="286" spans="2:12" x14ac:dyDescent="0.55000000000000004">
      <c r="B286" t="s">
        <v>1021</v>
      </c>
    </row>
    <row r="294" spans="2:4" x14ac:dyDescent="0.55000000000000004">
      <c r="B294" t="s">
        <v>163</v>
      </c>
    </row>
    <row r="295" spans="2:4" x14ac:dyDescent="0.55000000000000004">
      <c r="B295" t="str">
        <f>Master!B378</f>
        <v>BNPL</v>
      </c>
      <c r="C295" s="114">
        <f>Master!H378</f>
        <v>755.17099999999937</v>
      </c>
    </row>
    <row r="296" spans="2:4" x14ac:dyDescent="0.55000000000000004">
      <c r="B296" t="str">
        <f>Master!B379</f>
        <v>Bitcoin</v>
      </c>
      <c r="C296" s="114">
        <f>Master!H379</f>
        <v>205.18900000000031</v>
      </c>
    </row>
    <row r="297" spans="2:4" x14ac:dyDescent="0.55000000000000004">
      <c r="B297" t="s">
        <v>641</v>
      </c>
      <c r="C297" s="114">
        <f>Valuation!C64</f>
        <v>1642.9159399999999</v>
      </c>
    </row>
    <row r="298" spans="2:4" x14ac:dyDescent="0.55000000000000004">
      <c r="B298" t="str">
        <f>Master!B380</f>
        <v>Instant deposits</v>
      </c>
      <c r="C298" s="114">
        <f>Master!H380</f>
        <v>1253.8042699999999</v>
      </c>
    </row>
    <row r="299" spans="2:4" x14ac:dyDescent="0.55000000000000004">
      <c r="B299" t="str">
        <f>Master!B381</f>
        <v>Other community / P2P *</v>
      </c>
      <c r="C299" s="114">
        <f>Master!H381</f>
        <v>466.38279000000034</v>
      </c>
    </row>
    <row r="301" spans="2:4" x14ac:dyDescent="0.55000000000000004">
      <c r="B301" t="s">
        <v>886</v>
      </c>
    </row>
    <row r="302" spans="2:4" x14ac:dyDescent="0.55000000000000004">
      <c r="B302" s="107" t="str">
        <f>B55</f>
        <v>Interest on customer funds</v>
      </c>
      <c r="C302" s="107">
        <f>D55</f>
        <v>132</v>
      </c>
      <c r="D302" s="113">
        <f>C302/C$307</f>
        <v>8.0344950576107993E-2</v>
      </c>
    </row>
    <row r="303" spans="2:4" x14ac:dyDescent="0.55000000000000004">
      <c r="B303" s="107" t="str">
        <f>B56</f>
        <v>Cash App Borrow</v>
      </c>
      <c r="C303" s="107">
        <f>D56</f>
        <v>199.24118814432993</v>
      </c>
      <c r="D303" s="113">
        <f>C303/C$307</f>
        <v>0.12127290465288805</v>
      </c>
    </row>
    <row r="304" spans="2:4" x14ac:dyDescent="0.55000000000000004">
      <c r="B304" s="107" t="str">
        <f>B57</f>
        <v>Cash App Pay</v>
      </c>
      <c r="C304" s="107">
        <f>D57</f>
        <v>20.783333333333335</v>
      </c>
      <c r="D304" s="113">
        <f>C304/C$307</f>
        <v>1.2650271889950339E-2</v>
      </c>
    </row>
    <row r="305" spans="2:4" x14ac:dyDescent="0.55000000000000004">
      <c r="B305" s="107" t="str">
        <f>B58</f>
        <v>Other (ATM, Studio)</v>
      </c>
      <c r="C305" s="107">
        <f>D58</f>
        <v>42.891418522336608</v>
      </c>
      <c r="D305" s="113">
        <f>C305/C$307</f>
        <v>2.6106885616032558E-2</v>
      </c>
    </row>
    <row r="306" spans="2:4" x14ac:dyDescent="0.55000000000000004">
      <c r="B306" t="s">
        <v>887</v>
      </c>
      <c r="C306" s="107">
        <f>D54</f>
        <v>1248</v>
      </c>
      <c r="D306" s="113">
        <f>C306/C$307</f>
        <v>0.75962498726502103</v>
      </c>
    </row>
    <row r="307" spans="2:4" x14ac:dyDescent="0.55000000000000004">
      <c r="C307" s="107">
        <f>D59</f>
        <v>1642.9159399999999</v>
      </c>
    </row>
    <row r="311" spans="2:4" x14ac:dyDescent="0.55000000000000004">
      <c r="B311" t="s">
        <v>901</v>
      </c>
    </row>
    <row r="312" spans="2:4" x14ac:dyDescent="0.55000000000000004">
      <c r="B312" t="s">
        <v>900</v>
      </c>
      <c r="C312">
        <f>'Op Metrics - feeder'!AM60</f>
        <v>57</v>
      </c>
    </row>
    <row r="313" spans="2:4" x14ac:dyDescent="0.55000000000000004">
      <c r="B313" t="s">
        <v>786</v>
      </c>
      <c r="C313">
        <v>60</v>
      </c>
      <c r="D313">
        <f>45</f>
        <v>45</v>
      </c>
    </row>
    <row r="315" spans="2:4" x14ac:dyDescent="0.55000000000000004">
      <c r="B315" t="s">
        <v>902</v>
      </c>
    </row>
    <row r="316" spans="2:4" x14ac:dyDescent="0.55000000000000004">
      <c r="B316" t="str">
        <f>B312</f>
        <v xml:space="preserve">Cash App </v>
      </c>
      <c r="C316" s="107">
        <f>Interims!O247/3/1000</f>
        <v>21.224</v>
      </c>
    </row>
    <row r="317" spans="2:4" x14ac:dyDescent="0.55000000000000004">
      <c r="B317" t="str">
        <f>B313</f>
        <v>Venmo</v>
      </c>
      <c r="C317">
        <v>18</v>
      </c>
    </row>
    <row r="320" spans="2:4" x14ac:dyDescent="0.55000000000000004">
      <c r="B320" t="s">
        <v>1035</v>
      </c>
    </row>
    <row r="352" spans="3:12" x14ac:dyDescent="0.55000000000000004">
      <c r="C352" s="89" t="str">
        <f>Interims!H2</f>
        <v>Q1 22</v>
      </c>
      <c r="D352" s="89" t="str">
        <f>Interims!I2</f>
        <v>Q2 22</v>
      </c>
      <c r="E352" s="89" t="str">
        <f>Interims!J2</f>
        <v>Q3 22</v>
      </c>
      <c r="F352" s="89" t="str">
        <f>Interims!K2</f>
        <v>Q4 22</v>
      </c>
      <c r="G352" s="89" t="str">
        <f>Interims!L2</f>
        <v>Q1 23</v>
      </c>
      <c r="H352" s="89" t="str">
        <f>Interims!M2</f>
        <v>Q2 23</v>
      </c>
      <c r="I352" s="89" t="str">
        <f>Interims!N2</f>
        <v>Q3 23</v>
      </c>
      <c r="J352" s="89" t="str">
        <f>Interims!O2</f>
        <v>Q4 23</v>
      </c>
      <c r="K352" s="89" t="str">
        <f>Interims!P2</f>
        <v>Q1 24</v>
      </c>
      <c r="L352" s="89" t="str">
        <f>Interims!Q2</f>
        <v>Q2 24</v>
      </c>
    </row>
    <row r="353" spans="2:12" x14ac:dyDescent="0.55000000000000004">
      <c r="B353" t="s">
        <v>1028</v>
      </c>
      <c r="C353">
        <f>'Op Metrics - feeder'!AE60</f>
        <v>46</v>
      </c>
      <c r="D353">
        <f>'Op Metrics - feeder'!AF60</f>
        <v>47</v>
      </c>
      <c r="E353">
        <f>'Op Metrics - feeder'!AG60</f>
        <v>49</v>
      </c>
      <c r="F353">
        <f>'Op Metrics - feeder'!AH60</f>
        <v>51</v>
      </c>
      <c r="G353">
        <f>'Op Metrics - feeder'!AI60</f>
        <v>53</v>
      </c>
      <c r="H353">
        <f>'Op Metrics - feeder'!AJ60</f>
        <v>54</v>
      </c>
      <c r="I353">
        <f>'Op Metrics - feeder'!AK60</f>
        <v>55</v>
      </c>
      <c r="J353">
        <f>'Op Metrics - feeder'!AL60</f>
        <v>56</v>
      </c>
      <c r="K353">
        <f>'Op Metrics - feeder'!AM60</f>
        <v>57</v>
      </c>
      <c r="L353">
        <f>'Op Metrics - feeder'!AN60</f>
        <v>57</v>
      </c>
    </row>
    <row r="354" spans="2:12" x14ac:dyDescent="0.55000000000000004">
      <c r="B354" t="s">
        <v>902</v>
      </c>
      <c r="C354" s="114">
        <f>Interims!H247</f>
        <v>48392</v>
      </c>
      <c r="D354" s="114">
        <f>Interims!I247</f>
        <v>49256</v>
      </c>
      <c r="E354" s="114">
        <f>Interims!J247</f>
        <v>51254</v>
      </c>
      <c r="F354" s="114">
        <f>Interims!K247</f>
        <v>53448</v>
      </c>
      <c r="G354" s="114">
        <f>Interims!L247</f>
        <v>60208</v>
      </c>
      <c r="H354" s="114">
        <f>Interims!M247</f>
        <v>61236</v>
      </c>
      <c r="I354" s="114">
        <f>Interims!N247</f>
        <v>62260</v>
      </c>
      <c r="J354" s="114">
        <f>Interims!O247</f>
        <v>63672</v>
      </c>
      <c r="K354" s="114">
        <f>Interims!P247</f>
        <v>71535</v>
      </c>
      <c r="L354" s="114">
        <f>Interims!Q247</f>
        <v>70851</v>
      </c>
    </row>
    <row r="355" spans="2:12" x14ac:dyDescent="0.55000000000000004">
      <c r="B355" t="s">
        <v>1034</v>
      </c>
      <c r="C355" s="114">
        <f>Interims!H244</f>
        <v>1052</v>
      </c>
      <c r="D355" s="114">
        <f>Interims!I244</f>
        <v>1048</v>
      </c>
      <c r="E355" s="114">
        <f>Interims!J244</f>
        <v>1046</v>
      </c>
      <c r="F355" s="114">
        <f>Interims!K244</f>
        <v>1048</v>
      </c>
      <c r="G355" s="114">
        <f>Interims!L244</f>
        <v>1136</v>
      </c>
      <c r="H355" s="114">
        <f>Interims!M244</f>
        <v>1134</v>
      </c>
      <c r="I355" s="114">
        <f>Interims!N244</f>
        <v>1132</v>
      </c>
      <c r="J355" s="114">
        <f>Interims!O244</f>
        <v>1137</v>
      </c>
      <c r="K355" s="114">
        <f>Interims!P244</f>
        <v>1255</v>
      </c>
      <c r="L355" s="114">
        <f>Interims!Q244</f>
        <v>1243</v>
      </c>
    </row>
    <row r="356" spans="2:12" x14ac:dyDescent="0.55000000000000004">
      <c r="B356" t="s">
        <v>1031</v>
      </c>
      <c r="C356" s="115">
        <f>'Op Metrics - feeder'!AE65</f>
        <v>1.5</v>
      </c>
      <c r="D356" s="115"/>
      <c r="E356" s="115"/>
      <c r="F356" s="115"/>
      <c r="G356" s="107">
        <f>'Op Metrics - feeder'!AI65</f>
        <v>2</v>
      </c>
      <c r="H356" s="115"/>
      <c r="I356" s="115"/>
      <c r="J356" s="107">
        <f>'Op Metrics - feeder'!AL65</f>
        <v>2</v>
      </c>
      <c r="K356" s="115"/>
      <c r="L356" s="115"/>
    </row>
    <row r="357" spans="2:12" x14ac:dyDescent="0.55000000000000004">
      <c r="B357" t="s">
        <v>1029</v>
      </c>
      <c r="C357">
        <f>'Op Metrics - feeder'!AE64</f>
        <v>15</v>
      </c>
      <c r="D357" s="107">
        <f>'Op Metrics - feeder'!AF64</f>
        <v>16.5</v>
      </c>
      <c r="E357">
        <f>'Op Metrics - feeder'!AG64</f>
        <v>18</v>
      </c>
      <c r="F357">
        <f>'Op Metrics - feeder'!AH64</f>
        <v>19</v>
      </c>
      <c r="G357">
        <f>'Op Metrics - feeder'!AI64</f>
        <v>20</v>
      </c>
      <c r="H357">
        <f>'Op Metrics - feeder'!AJ64</f>
        <v>21</v>
      </c>
      <c r="I357">
        <f>'Op Metrics - feeder'!AK64</f>
        <v>22</v>
      </c>
      <c r="J357">
        <f>'Op Metrics - feeder'!AL64</f>
        <v>23</v>
      </c>
      <c r="K357">
        <f>'Op Metrics - feeder'!AM64</f>
        <v>24</v>
      </c>
      <c r="L357">
        <f>'Op Metrics - feeder'!AN64</f>
        <v>24</v>
      </c>
    </row>
    <row r="358" spans="2:12" x14ac:dyDescent="0.55000000000000004">
      <c r="B358" t="s">
        <v>1030</v>
      </c>
    </row>
    <row r="394" spans="2:9" x14ac:dyDescent="0.55000000000000004">
      <c r="D394" t="s">
        <v>1047</v>
      </c>
    </row>
    <row r="395" spans="2:9" x14ac:dyDescent="0.55000000000000004">
      <c r="C395" s="89" t="s">
        <v>1046</v>
      </c>
      <c r="D395" s="89" t="s">
        <v>474</v>
      </c>
      <c r="E395" s="89" t="s">
        <v>544</v>
      </c>
      <c r="F395" s="89" t="s">
        <v>1045</v>
      </c>
      <c r="G395" s="89" t="s">
        <v>253</v>
      </c>
      <c r="H395" s="89" t="s">
        <v>1044</v>
      </c>
      <c r="I395" s="89" t="s">
        <v>1043</v>
      </c>
    </row>
    <row r="396" spans="2:9" x14ac:dyDescent="0.55000000000000004">
      <c r="B396" t="s">
        <v>1035</v>
      </c>
      <c r="C396">
        <v>23.6</v>
      </c>
      <c r="D396">
        <v>8.4</v>
      </c>
      <c r="E396" s="113">
        <f>D396/C396</f>
        <v>0.3559322033898305</v>
      </c>
      <c r="F396">
        <v>266.10000000000002</v>
      </c>
      <c r="G396" s="112">
        <f>F396/(D396*1000)</f>
        <v>3.1678571428571431E-2</v>
      </c>
      <c r="H396">
        <v>504</v>
      </c>
      <c r="I396" s="107">
        <f>F396*1000000/H396</f>
        <v>527976.19047619053</v>
      </c>
    </row>
    <row r="397" spans="2:9" x14ac:dyDescent="0.55000000000000004">
      <c r="E397" s="113"/>
      <c r="G397" s="112"/>
    </row>
    <row r="399" spans="2:9" x14ac:dyDescent="0.55000000000000004">
      <c r="B399" s="176" t="s">
        <v>1042</v>
      </c>
    </row>
    <row r="400" spans="2:9" x14ac:dyDescent="0.55000000000000004">
      <c r="B400" t="s">
        <v>1041</v>
      </c>
      <c r="D400">
        <f>D396*0.5</f>
        <v>4.2</v>
      </c>
      <c r="F400" s="115">
        <f>F396*0.5</f>
        <v>133.05000000000001</v>
      </c>
    </row>
    <row r="401" spans="2:16" x14ac:dyDescent="0.55000000000000004">
      <c r="B401" s="113"/>
      <c r="N401" t="s">
        <v>1040</v>
      </c>
      <c r="O401" t="s">
        <v>1039</v>
      </c>
    </row>
    <row r="402" spans="2:16" x14ac:dyDescent="0.55000000000000004">
      <c r="B402" t="s">
        <v>1038</v>
      </c>
      <c r="D402">
        <v>40.5</v>
      </c>
      <c r="F402">
        <v>1242</v>
      </c>
      <c r="H402">
        <f>F402*1000000/I402</f>
        <v>10350</v>
      </c>
      <c r="I402">
        <v>120000</v>
      </c>
      <c r="M402" t="s">
        <v>1048</v>
      </c>
      <c r="N402">
        <v>8000</v>
      </c>
      <c r="O402" s="107">
        <f>1/1.2*O404</f>
        <v>7506.666666666667</v>
      </c>
      <c r="P402" s="113">
        <f>O402/N402-1</f>
        <v>-6.1666666666666647E-2</v>
      </c>
    </row>
    <row r="403" spans="2:16" x14ac:dyDescent="0.55000000000000004">
      <c r="N403">
        <v>0</v>
      </c>
      <c r="O403" s="107">
        <f>O404-O402</f>
        <v>1501.333333333333</v>
      </c>
    </row>
    <row r="404" spans="2:16" x14ac:dyDescent="0.55000000000000004">
      <c r="M404" t="s">
        <v>1037</v>
      </c>
      <c r="N404">
        <f>N402+N403</f>
        <v>8000</v>
      </c>
      <c r="O404" s="107">
        <f>(1+P404)*N404</f>
        <v>9008</v>
      </c>
      <c r="P404" s="113">
        <v>0.126</v>
      </c>
    </row>
    <row r="405" spans="2:16" x14ac:dyDescent="0.55000000000000004">
      <c r="M405" t="s">
        <v>1036</v>
      </c>
      <c r="N405" s="113">
        <f>N403/N402</f>
        <v>0</v>
      </c>
      <c r="O405" s="113">
        <f>O403/O402</f>
        <v>0.19999999999999996</v>
      </c>
    </row>
    <row r="407" spans="2:16" x14ac:dyDescent="0.55000000000000004">
      <c r="C407" t="s">
        <v>1049</v>
      </c>
      <c r="D407">
        <v>75</v>
      </c>
      <c r="E407" t="s">
        <v>1050</v>
      </c>
    </row>
    <row r="408" spans="2:16" x14ac:dyDescent="0.55000000000000004">
      <c r="C408" t="s">
        <v>1052</v>
      </c>
      <c r="D408">
        <v>70</v>
      </c>
      <c r="E408" t="s">
        <v>1051</v>
      </c>
    </row>
    <row r="409" spans="2:16" x14ac:dyDescent="0.55000000000000004">
      <c r="C409" t="s">
        <v>1053</v>
      </c>
      <c r="E409" t="s">
        <v>1054</v>
      </c>
    </row>
    <row r="410" spans="2:16" x14ac:dyDescent="0.55000000000000004">
      <c r="D410">
        <f>D407+D408</f>
        <v>145</v>
      </c>
      <c r="K410">
        <v>1.32</v>
      </c>
    </row>
    <row r="411" spans="2:16" x14ac:dyDescent="0.55000000000000004">
      <c r="K411">
        <v>2024</v>
      </c>
    </row>
    <row r="412" spans="2:16" x14ac:dyDescent="0.55000000000000004">
      <c r="B412" s="90"/>
      <c r="C412" s="90" t="s">
        <v>1056</v>
      </c>
      <c r="D412" s="90" t="s">
        <v>1055</v>
      </c>
      <c r="E412" s="90" t="s">
        <v>1196</v>
      </c>
      <c r="F412" s="90" t="s">
        <v>1197</v>
      </c>
      <c r="G412" s="90" t="s">
        <v>1198</v>
      </c>
      <c r="H412" s="90"/>
      <c r="I412" s="90"/>
      <c r="J412" s="90" t="s">
        <v>1201</v>
      </c>
      <c r="K412" s="90" t="s">
        <v>1200</v>
      </c>
      <c r="L412" s="90" t="s">
        <v>1199</v>
      </c>
      <c r="M412" s="90" t="s">
        <v>1205</v>
      </c>
    </row>
    <row r="413" spans="2:16" x14ac:dyDescent="0.55000000000000004">
      <c r="B413" t="s">
        <v>259</v>
      </c>
      <c r="C413">
        <v>104.5</v>
      </c>
      <c r="D413">
        <v>87.2</v>
      </c>
      <c r="F413" s="114">
        <v>71300</v>
      </c>
      <c r="G413" s="114">
        <f t="shared" ref="G413:G418" si="14">F413/D413</f>
        <v>817.66055045871553</v>
      </c>
      <c r="H413" s="113">
        <v>0.6</v>
      </c>
      <c r="I413">
        <f>D413*H413</f>
        <v>52.32</v>
      </c>
      <c r="K413" s="114">
        <v>5520</v>
      </c>
      <c r="L413" s="115">
        <f t="shared" ref="L413:L418" si="15">K413/D413</f>
        <v>63.302752293577981</v>
      </c>
      <c r="M413" s="115">
        <f t="shared" ref="M413:M418" si="16">F413/K413</f>
        <v>12.916666666666666</v>
      </c>
    </row>
    <row r="414" spans="2:16" x14ac:dyDescent="0.55000000000000004">
      <c r="B414" t="s">
        <v>163</v>
      </c>
      <c r="D414" s="154">
        <f>Interims!Q242</f>
        <v>57</v>
      </c>
      <c r="F414" s="114">
        <f ca="1">Valuation!G13</f>
        <v>32934.735129953355</v>
      </c>
      <c r="G414" s="114">
        <f t="shared" ca="1" si="14"/>
        <v>577.80237070093608</v>
      </c>
      <c r="H414" s="113">
        <v>0.5</v>
      </c>
      <c r="I414">
        <f>D414*H414</f>
        <v>28.5</v>
      </c>
      <c r="K414" s="114">
        <f>Valuation!D79+Valuation!D82+Valuation!D83</f>
        <v>4136.932902098366</v>
      </c>
      <c r="L414" s="115">
        <f t="shared" si="15"/>
        <v>72.577770212252034</v>
      </c>
      <c r="M414" s="115">
        <f t="shared" ca="1" si="16"/>
        <v>7.9611480073191307</v>
      </c>
      <c r="N414" t="s">
        <v>1058</v>
      </c>
    </row>
    <row r="415" spans="2:16" x14ac:dyDescent="0.55000000000000004">
      <c r="B415" t="s">
        <v>1275</v>
      </c>
      <c r="D415" s="154">
        <v>45</v>
      </c>
      <c r="E415">
        <v>45000</v>
      </c>
      <c r="F415" s="114">
        <v>45000</v>
      </c>
      <c r="G415" s="114">
        <f t="shared" si="14"/>
        <v>1000</v>
      </c>
      <c r="J415" s="114">
        <f>Revolut!I107</f>
        <v>1686.1924230664072</v>
      </c>
      <c r="K415" s="114">
        <f>J415*$K$410</f>
        <v>2225.7739984476575</v>
      </c>
      <c r="L415" s="115">
        <f t="shared" si="15"/>
        <v>49.461644409947944</v>
      </c>
      <c r="M415" s="115">
        <f t="shared" si="16"/>
        <v>20.217686086451174</v>
      </c>
    </row>
    <row r="416" spans="2:16" x14ac:dyDescent="0.55000000000000004">
      <c r="B416" t="s">
        <v>1203</v>
      </c>
      <c r="D416">
        <v>13.2</v>
      </c>
      <c r="F416">
        <v>21467</v>
      </c>
      <c r="G416" s="114">
        <f t="shared" si="14"/>
        <v>1626.287878787879</v>
      </c>
      <c r="K416" s="114">
        <v>2419</v>
      </c>
      <c r="L416" s="115">
        <f t="shared" si="15"/>
        <v>183.25757575757578</v>
      </c>
      <c r="M416" s="115">
        <f t="shared" si="16"/>
        <v>8.8743282348077717</v>
      </c>
    </row>
    <row r="417" spans="2:13" x14ac:dyDescent="0.55000000000000004">
      <c r="B417" t="s">
        <v>1202</v>
      </c>
      <c r="D417" s="115">
        <v>8.7739999999999991</v>
      </c>
      <c r="F417">
        <v>8000</v>
      </c>
      <c r="G417" s="114">
        <f t="shared" si="14"/>
        <v>911.78481878276739</v>
      </c>
      <c r="K417" s="114">
        <f>2500-50</f>
        <v>2450</v>
      </c>
      <c r="L417" s="115">
        <f t="shared" si="15"/>
        <v>279.2341007522225</v>
      </c>
      <c r="M417" s="115">
        <f t="shared" si="16"/>
        <v>3.2653061224489797</v>
      </c>
    </row>
    <row r="418" spans="2:13" x14ac:dyDescent="0.55000000000000004">
      <c r="B418" t="s">
        <v>1204</v>
      </c>
      <c r="D418" s="115">
        <v>8.3699999999999992</v>
      </c>
      <c r="E418">
        <v>6081</v>
      </c>
      <c r="F418" s="114">
        <f>E418*$K$410</f>
        <v>8026.92</v>
      </c>
      <c r="G418" s="114">
        <f t="shared" si="14"/>
        <v>959.01075268817215</v>
      </c>
      <c r="J418" s="114">
        <v>1281</v>
      </c>
      <c r="K418" s="114">
        <f>J418*$K$410</f>
        <v>1690.92</v>
      </c>
      <c r="L418" s="115">
        <f t="shared" si="15"/>
        <v>202.02150537634412</v>
      </c>
      <c r="M418" s="115">
        <f t="shared" si="16"/>
        <v>4.7470725995316156</v>
      </c>
    </row>
    <row r="420" spans="2:13" x14ac:dyDescent="0.55000000000000004">
      <c r="B420" t="s">
        <v>1203</v>
      </c>
      <c r="C420" s="114">
        <v>1626.287878787879</v>
      </c>
    </row>
    <row r="421" spans="2:13" x14ac:dyDescent="0.55000000000000004">
      <c r="B421" t="s">
        <v>1275</v>
      </c>
      <c r="C421" s="114">
        <v>1000</v>
      </c>
    </row>
    <row r="422" spans="2:13" x14ac:dyDescent="0.55000000000000004">
      <c r="B422" t="s">
        <v>1204</v>
      </c>
      <c r="C422" s="114">
        <v>959.01075268817215</v>
      </c>
    </row>
    <row r="423" spans="2:13" x14ac:dyDescent="0.55000000000000004">
      <c r="B423" t="s">
        <v>1202</v>
      </c>
      <c r="C423" s="114">
        <v>911.78481878276739</v>
      </c>
    </row>
    <row r="424" spans="2:13" x14ac:dyDescent="0.55000000000000004">
      <c r="B424" t="s">
        <v>259</v>
      </c>
      <c r="C424" s="114">
        <v>817.66055045871553</v>
      </c>
    </row>
    <row r="425" spans="2:13" x14ac:dyDescent="0.55000000000000004">
      <c r="B425" t="s">
        <v>163</v>
      </c>
      <c r="C425" s="114">
        <v>577.44223912198879</v>
      </c>
    </row>
    <row r="427" spans="2:13" x14ac:dyDescent="0.55000000000000004">
      <c r="B427" t="s">
        <v>1057</v>
      </c>
    </row>
    <row r="429" spans="2:13" x14ac:dyDescent="0.55000000000000004">
      <c r="B429" t="s">
        <v>1014</v>
      </c>
      <c r="C429" t="s">
        <v>1059</v>
      </c>
    </row>
    <row r="431" spans="2:13" x14ac:dyDescent="0.55000000000000004">
      <c r="B431" s="90"/>
      <c r="C431" s="90">
        <v>2021</v>
      </c>
      <c r="D431" s="90">
        <f>C431+1</f>
        <v>2022</v>
      </c>
      <c r="E431" s="90">
        <f>D431+1</f>
        <v>2023</v>
      </c>
      <c r="F431" s="90">
        <f>E431+1</f>
        <v>2024</v>
      </c>
    </row>
    <row r="432" spans="2:13" x14ac:dyDescent="0.55000000000000004">
      <c r="C432" s="89" t="s">
        <v>786</v>
      </c>
    </row>
    <row r="433" spans="2:8" x14ac:dyDescent="0.55000000000000004">
      <c r="B433" t="s">
        <v>90</v>
      </c>
      <c r="C433">
        <v>900</v>
      </c>
    </row>
    <row r="434" spans="2:8" x14ac:dyDescent="0.55000000000000004">
      <c r="C434" s="89" t="s">
        <v>163</v>
      </c>
    </row>
    <row r="435" spans="2:8" x14ac:dyDescent="0.55000000000000004">
      <c r="B435" t="s">
        <v>90</v>
      </c>
      <c r="C435" s="114">
        <f>Master!F20-Master!F19</f>
        <v>2302.851999999999</v>
      </c>
      <c r="D435" s="114">
        <f>Master!G20-Master!G19</f>
        <v>3918.9480000000003</v>
      </c>
      <c r="E435" s="114">
        <f>Master!H20-Master!H19</f>
        <v>5183.384</v>
      </c>
      <c r="F435" s="114">
        <f>Master!I20-Master!I19</f>
        <v>6075.1781234730533</v>
      </c>
    </row>
    <row r="436" spans="2:8" x14ac:dyDescent="0.55000000000000004">
      <c r="C436" s="114">
        <f>Master!F301</f>
        <v>13</v>
      </c>
      <c r="D436" s="114">
        <f>Master!G301</f>
        <v>19</v>
      </c>
      <c r="E436" s="114">
        <f>Master!H301</f>
        <v>23</v>
      </c>
      <c r="F436" s="114">
        <f>Master!I301</f>
        <v>26</v>
      </c>
    </row>
    <row r="438" spans="2:8" x14ac:dyDescent="0.55000000000000004">
      <c r="B438" t="s">
        <v>1062</v>
      </c>
    </row>
    <row r="440" spans="2:8" x14ac:dyDescent="0.55000000000000004">
      <c r="B440" t="s">
        <v>1063</v>
      </c>
      <c r="C440" s="89" t="s">
        <v>1064</v>
      </c>
      <c r="G440" s="89" t="s">
        <v>277</v>
      </c>
    </row>
    <row r="441" spans="2:8" x14ac:dyDescent="0.55000000000000004">
      <c r="B441" t="s">
        <v>1038</v>
      </c>
      <c r="C441">
        <f>100%*G441</f>
        <v>34.700000000000003</v>
      </c>
      <c r="D441" s="113">
        <v>0.15</v>
      </c>
      <c r="G441">
        <v>34.700000000000003</v>
      </c>
    </row>
    <row r="442" spans="2:8" x14ac:dyDescent="0.55000000000000004">
      <c r="B442" t="s">
        <v>162</v>
      </c>
      <c r="C442" s="115">
        <f>0.5*G442</f>
        <v>25.232465999999999</v>
      </c>
      <c r="D442" s="113">
        <f t="shared" ref="D442:D447" si="17">C442/C$448</f>
        <v>0.10907406051873196</v>
      </c>
      <c r="G442" s="115">
        <f>Interims!P195</f>
        <v>50.464931999999997</v>
      </c>
    </row>
    <row r="443" spans="2:8" x14ac:dyDescent="0.55000000000000004">
      <c r="B443" t="s">
        <v>1065</v>
      </c>
      <c r="C443" s="115">
        <f>G443*0.33</f>
        <v>10.988999999999999</v>
      </c>
      <c r="D443" s="113">
        <f t="shared" si="17"/>
        <v>4.7502881844380389E-2</v>
      </c>
      <c r="G443">
        <v>33.299999999999997</v>
      </c>
    </row>
    <row r="444" spans="2:8" x14ac:dyDescent="0.55000000000000004">
      <c r="B444" t="s">
        <v>1035</v>
      </c>
      <c r="C444" s="115">
        <f>0.33*G444</f>
        <v>2.7720000000000002</v>
      </c>
      <c r="D444" s="113">
        <f t="shared" si="17"/>
        <v>1.1982708933717579E-2</v>
      </c>
      <c r="G444">
        <v>8.4</v>
      </c>
      <c r="H444" t="s">
        <v>1066</v>
      </c>
    </row>
    <row r="445" spans="2:8" x14ac:dyDescent="0.55000000000000004">
      <c r="B445" t="s">
        <v>1067</v>
      </c>
      <c r="C445">
        <f>0.15*C448</f>
        <v>34.700000000000003</v>
      </c>
      <c r="D445" s="113">
        <f t="shared" si="17"/>
        <v>0.15</v>
      </c>
    </row>
    <row r="446" spans="2:8" x14ac:dyDescent="0.55000000000000004">
      <c r="B446" t="s">
        <v>1068</v>
      </c>
      <c r="C446" s="115">
        <f>0.2*C448</f>
        <v>46.26666666666668</v>
      </c>
      <c r="D446" s="113">
        <f t="shared" si="17"/>
        <v>0.2</v>
      </c>
    </row>
    <row r="447" spans="2:8" x14ac:dyDescent="0.55000000000000004">
      <c r="B447" t="s">
        <v>321</v>
      </c>
      <c r="C447" s="115">
        <f>C448-SUM(C441:C446)</f>
        <v>76.673200666666673</v>
      </c>
      <c r="D447" s="113">
        <f t="shared" si="17"/>
        <v>0.33144034870317002</v>
      </c>
    </row>
    <row r="448" spans="2:8" x14ac:dyDescent="0.55000000000000004">
      <c r="C448" s="107">
        <f>C441/D441</f>
        <v>231.33333333333337</v>
      </c>
    </row>
    <row r="450" spans="2:8" x14ac:dyDescent="0.55000000000000004">
      <c r="B450" s="108" t="s">
        <v>1038</v>
      </c>
      <c r="C450" s="153" t="s">
        <v>1069</v>
      </c>
    </row>
    <row r="451" spans="2:8" x14ac:dyDescent="0.55000000000000004">
      <c r="C451" s="89" t="s">
        <v>1070</v>
      </c>
      <c r="D451" s="89" t="s">
        <v>1071</v>
      </c>
      <c r="E451" s="89" t="s">
        <v>1072</v>
      </c>
    </row>
    <row r="452" spans="2:8" x14ac:dyDescent="0.55000000000000004">
      <c r="B452" t="s">
        <v>1073</v>
      </c>
      <c r="C452">
        <v>80</v>
      </c>
      <c r="D452">
        <v>150</v>
      </c>
    </row>
    <row r="453" spans="2:8" x14ac:dyDescent="0.55000000000000004">
      <c r="B453" t="s">
        <v>1074</v>
      </c>
      <c r="C453" t="s">
        <v>1080</v>
      </c>
    </row>
    <row r="454" spans="2:8" x14ac:dyDescent="0.55000000000000004">
      <c r="B454" t="s">
        <v>1075</v>
      </c>
      <c r="C454" t="s">
        <v>1080</v>
      </c>
    </row>
    <row r="456" spans="2:8" x14ac:dyDescent="0.55000000000000004">
      <c r="B456" s="108" t="s">
        <v>162</v>
      </c>
      <c r="C456" s="153" t="s">
        <v>1069</v>
      </c>
    </row>
    <row r="457" spans="2:8" x14ac:dyDescent="0.55000000000000004">
      <c r="C457" s="89" t="s">
        <v>1076</v>
      </c>
      <c r="D457" s="89" t="s">
        <v>1077</v>
      </c>
      <c r="E457" s="89" t="s">
        <v>1071</v>
      </c>
    </row>
    <row r="458" spans="2:8" x14ac:dyDescent="0.55000000000000004">
      <c r="B458" t="s">
        <v>1073</v>
      </c>
      <c r="C458">
        <v>0</v>
      </c>
      <c r="D458">
        <v>69</v>
      </c>
      <c r="E458">
        <v>165</v>
      </c>
    </row>
    <row r="459" spans="2:8" x14ac:dyDescent="0.55000000000000004">
      <c r="B459" t="s">
        <v>1074</v>
      </c>
      <c r="C459" t="s">
        <v>1078</v>
      </c>
    </row>
    <row r="460" spans="2:8" x14ac:dyDescent="0.55000000000000004">
      <c r="B460" t="s">
        <v>1075</v>
      </c>
      <c r="C460" t="s">
        <v>1079</v>
      </c>
    </row>
    <row r="462" spans="2:8" x14ac:dyDescent="0.55000000000000004">
      <c r="B462" s="90"/>
      <c r="C462" s="90">
        <f>D462-1</f>
        <v>2018</v>
      </c>
      <c r="D462" s="90">
        <f>E462-1</f>
        <v>2019</v>
      </c>
      <c r="E462" s="90">
        <f>F462-1</f>
        <v>2020</v>
      </c>
      <c r="F462" s="90">
        <f>G462-1</f>
        <v>2021</v>
      </c>
      <c r="G462" s="90">
        <f>H462-1</f>
        <v>2022</v>
      </c>
      <c r="H462" s="90">
        <v>2023</v>
      </c>
    </row>
    <row r="463" spans="2:8" x14ac:dyDescent="0.55000000000000004">
      <c r="B463" t="s">
        <v>1038</v>
      </c>
      <c r="D463" s="107">
        <v>21.8</v>
      </c>
      <c r="E463" s="107">
        <f>F463/(1+F464)</f>
        <v>25.204788909892883</v>
      </c>
      <c r="F463" s="107">
        <f>G463/(1+G464)</f>
        <v>56.710775047258991</v>
      </c>
      <c r="G463" s="107">
        <f>H463/(1+H464)</f>
        <v>91.304347826086968</v>
      </c>
      <c r="H463">
        <v>126</v>
      </c>
    </row>
    <row r="464" spans="2:8" x14ac:dyDescent="0.55000000000000004">
      <c r="B464" t="s">
        <v>279</v>
      </c>
      <c r="E464" s="113">
        <f>E463/D463-1</f>
        <v>0.15618297751802213</v>
      </c>
      <c r="F464" s="113">
        <v>1.25</v>
      </c>
      <c r="G464" s="113">
        <v>0.61</v>
      </c>
      <c r="H464" s="113">
        <v>0.38</v>
      </c>
    </row>
    <row r="466" spans="2:8" x14ac:dyDescent="0.55000000000000004">
      <c r="B466" t="s">
        <v>162</v>
      </c>
      <c r="D466" s="114">
        <f>Master!D211</f>
        <v>106.239</v>
      </c>
      <c r="E466" s="114">
        <f>Master!E211</f>
        <v>112.295</v>
      </c>
      <c r="F466" s="114">
        <f>Master!F211</f>
        <v>152.80000000000001</v>
      </c>
      <c r="G466" s="114">
        <f>Master!G211</f>
        <v>186.46</v>
      </c>
      <c r="H466" s="114">
        <f>Master!H211</f>
        <v>209.60317865399998</v>
      </c>
    </row>
    <row r="467" spans="2:8" x14ac:dyDescent="0.55000000000000004">
      <c r="B467" s="163" t="s">
        <v>1081</v>
      </c>
      <c r="D467" s="113">
        <v>0.26</v>
      </c>
      <c r="E467" s="113">
        <v>0.27</v>
      </c>
      <c r="F467" s="113">
        <v>0.28999999999999998</v>
      </c>
      <c r="G467" s="113">
        <v>0.31</v>
      </c>
      <c r="H467" s="113">
        <v>0.32</v>
      </c>
    </row>
    <row r="468" spans="2:8" x14ac:dyDescent="0.55000000000000004">
      <c r="B468" t="s">
        <v>1089</v>
      </c>
      <c r="D468" s="107">
        <f>D467*D466</f>
        <v>27.622140000000002</v>
      </c>
      <c r="E468" s="107">
        <f>E467*E466</f>
        <v>30.319650000000003</v>
      </c>
      <c r="F468" s="107">
        <f>F467*F466</f>
        <v>44.311999999999998</v>
      </c>
      <c r="G468" s="107">
        <f>G467*G466</f>
        <v>57.802600000000005</v>
      </c>
      <c r="H468" s="107">
        <f>H467*H466</f>
        <v>67.073017169279993</v>
      </c>
    </row>
    <row r="469" spans="2:8" x14ac:dyDescent="0.55000000000000004">
      <c r="D469" s="107"/>
      <c r="E469" s="113">
        <f>E468/D468-1</f>
        <v>9.7657531241243545E-2</v>
      </c>
      <c r="F469" s="113">
        <f>F468/E468-1</f>
        <v>0.46149444337253209</v>
      </c>
      <c r="G469" s="113">
        <f>G468/F468-1</f>
        <v>0.30444574833002358</v>
      </c>
      <c r="H469" s="113">
        <f>H468/G468-1</f>
        <v>0.16038062594554536</v>
      </c>
    </row>
    <row r="470" spans="2:8" x14ac:dyDescent="0.55000000000000004">
      <c r="B470" t="s">
        <v>1092</v>
      </c>
      <c r="D470" s="107">
        <f>D466-D468</f>
        <v>78.616860000000003</v>
      </c>
      <c r="E470" s="107">
        <f>E466-E468</f>
        <v>81.975349999999992</v>
      </c>
      <c r="F470" s="107">
        <f>F466-F468</f>
        <v>108.48800000000001</v>
      </c>
      <c r="G470" s="107">
        <f>G466-G468</f>
        <v>128.6574</v>
      </c>
      <c r="H470" s="107">
        <f>H466-H468</f>
        <v>142.53016148472</v>
      </c>
    </row>
    <row r="472" spans="2:8" x14ac:dyDescent="0.55000000000000004">
      <c r="F472">
        <f>F462</f>
        <v>2021</v>
      </c>
      <c r="G472">
        <f>G462</f>
        <v>2022</v>
      </c>
      <c r="H472">
        <f>H462</f>
        <v>2023</v>
      </c>
    </row>
    <row r="473" spans="2:8" x14ac:dyDescent="0.55000000000000004">
      <c r="B473" t="s">
        <v>1090</v>
      </c>
      <c r="F473">
        <v>47</v>
      </c>
      <c r="G473">
        <v>72</v>
      </c>
      <c r="H473">
        <v>109</v>
      </c>
    </row>
    <row r="474" spans="2:8" x14ac:dyDescent="0.55000000000000004">
      <c r="B474" t="s">
        <v>1091</v>
      </c>
      <c r="H474" s="107">
        <f>0.333*H473</f>
        <v>36.297000000000004</v>
      </c>
    </row>
    <row r="476" spans="2:8" x14ac:dyDescent="0.55000000000000004">
      <c r="B476" t="s">
        <v>1083</v>
      </c>
    </row>
    <row r="478" spans="2:8" x14ac:dyDescent="0.55000000000000004">
      <c r="B478" t="s">
        <v>1082</v>
      </c>
      <c r="C478" s="113">
        <f>H467</f>
        <v>0.32</v>
      </c>
    </row>
    <row r="479" spans="2:8" x14ac:dyDescent="0.55000000000000004">
      <c r="B479" t="s">
        <v>1084</v>
      </c>
      <c r="C479" s="113">
        <v>0.18</v>
      </c>
    </row>
    <row r="480" spans="2:8" x14ac:dyDescent="0.55000000000000004">
      <c r="B480" t="s">
        <v>1085</v>
      </c>
      <c r="C480" s="113">
        <v>0.11</v>
      </c>
    </row>
    <row r="481" spans="2:3" x14ac:dyDescent="0.55000000000000004">
      <c r="B481" t="s">
        <v>1086</v>
      </c>
      <c r="C481" s="113">
        <v>0.1</v>
      </c>
    </row>
    <row r="482" spans="2:3" x14ac:dyDescent="0.55000000000000004">
      <c r="B482" t="s">
        <v>1087</v>
      </c>
      <c r="C482" s="113">
        <v>0.09</v>
      </c>
    </row>
    <row r="483" spans="2:3" x14ac:dyDescent="0.55000000000000004">
      <c r="B483" t="s">
        <v>1088</v>
      </c>
      <c r="C483" s="113">
        <v>0.08</v>
      </c>
    </row>
    <row r="484" spans="2:3" x14ac:dyDescent="0.55000000000000004">
      <c r="B484" t="s">
        <v>321</v>
      </c>
      <c r="C484" s="113">
        <f>100%-SUM(C478:C483)</f>
        <v>0.12000000000000011</v>
      </c>
    </row>
    <row r="492" spans="2:3" x14ac:dyDescent="0.55000000000000004">
      <c r="C492" s="113">
        <v>-0.03</v>
      </c>
    </row>
    <row r="508" spans="2:5" x14ac:dyDescent="0.55000000000000004">
      <c r="C508" s="89" t="str">
        <f>Interims!M193</f>
        <v>Q2 23</v>
      </c>
      <c r="D508" s="89" t="str">
        <f>Interims!Q193</f>
        <v>Q2 24</v>
      </c>
    </row>
    <row r="509" spans="2:5" x14ac:dyDescent="0.55000000000000004">
      <c r="B509" t="s">
        <v>565</v>
      </c>
      <c r="C509" s="114">
        <f>Interims!M217</f>
        <v>186.48</v>
      </c>
      <c r="D509" s="114">
        <f>Interims!Q217</f>
        <v>184.51679999999999</v>
      </c>
      <c r="E509" s="113">
        <f>D509/C509-1</f>
        <v>-1.0527670527670563E-2</v>
      </c>
    </row>
    <row r="510" spans="2:5" x14ac:dyDescent="0.55000000000000004">
      <c r="B510" t="s">
        <v>1130</v>
      </c>
      <c r="C510" s="114">
        <f>C511-C509</f>
        <v>617.553</v>
      </c>
      <c r="D510" s="114">
        <f>D511-D509</f>
        <v>738.06719999999996</v>
      </c>
      <c r="E510" s="113">
        <f>D510/C510-1</f>
        <v>0.19514794681590075</v>
      </c>
    </row>
    <row r="511" spans="2:5" x14ac:dyDescent="0.55000000000000004">
      <c r="B511" t="s">
        <v>1129</v>
      </c>
      <c r="C511" s="114">
        <f>Interims!M204</f>
        <v>804.03300000000002</v>
      </c>
      <c r="D511" s="114">
        <f>Interims!Q204</f>
        <v>922.58399999999995</v>
      </c>
      <c r="E511" s="113">
        <f>D511/C511-1</f>
        <v>0.14744544067221121</v>
      </c>
    </row>
    <row r="529" spans="2:10" x14ac:dyDescent="0.55000000000000004">
      <c r="B529" s="90"/>
      <c r="C529" s="91" t="str">
        <f>Interims!AC2</f>
        <v>Q1 23</v>
      </c>
      <c r="D529" s="91" t="str">
        <f>Interims!AD2</f>
        <v>Q2 23</v>
      </c>
      <c r="E529" s="91" t="str">
        <f>Interims!AE2</f>
        <v>Q3 23</v>
      </c>
      <c r="F529" s="91" t="str">
        <f>Interims!AF2</f>
        <v>Q4 23</v>
      </c>
      <c r="G529" s="91" t="str">
        <f>Interims!AG2</f>
        <v>Q1 24</v>
      </c>
      <c r="H529" s="91" t="str">
        <f>Interims!AH2</f>
        <v>Q2 24</v>
      </c>
      <c r="I529" s="89"/>
      <c r="J529" s="89"/>
    </row>
    <row r="530" spans="2:10" x14ac:dyDescent="0.55000000000000004">
      <c r="B530" t="s">
        <v>1135</v>
      </c>
      <c r="C530" s="113">
        <f>Interims!AC60</f>
        <v>0.32404398591462291</v>
      </c>
      <c r="D530" s="113">
        <f>Interims!AD60</f>
        <v>0.26976051408228385</v>
      </c>
      <c r="E530" s="113">
        <f>Interims!AE60</f>
        <v>0.21144938162414517</v>
      </c>
      <c r="F530" s="113">
        <f>Interims!AF60</f>
        <v>0.22018919464279807</v>
      </c>
      <c r="G530" s="113">
        <f>Interims!AG60</f>
        <v>0.22156336464121895</v>
      </c>
      <c r="H530" s="113">
        <f>Interims!AH60</f>
        <v>0.19686983716315454</v>
      </c>
      <c r="I530" s="113"/>
      <c r="J530" s="113"/>
    </row>
    <row r="531" spans="2:10" x14ac:dyDescent="0.55000000000000004">
      <c r="B531" t="s">
        <v>843</v>
      </c>
      <c r="C531" s="113">
        <v>5.4595086442219554E-3</v>
      </c>
      <c r="D531" s="113">
        <v>1.0259505129752489E-2</v>
      </c>
      <c r="E531" s="113">
        <v>-3.5233457462045314E-2</v>
      </c>
      <c r="F531" s="113">
        <v>2.7240533914474341E-4</v>
      </c>
      <c r="G531" s="113">
        <v>4.4042232277526461E-2</v>
      </c>
      <c r="H531" s="113">
        <v>7.7658303464755107E-2</v>
      </c>
      <c r="I531" s="113"/>
      <c r="J531" s="113"/>
    </row>
    <row r="534" spans="2:10" x14ac:dyDescent="0.55000000000000004">
      <c r="B534" s="90" t="s">
        <v>1241</v>
      </c>
      <c r="C534" s="90">
        <v>2023</v>
      </c>
      <c r="D534" s="90">
        <f>C534+1</f>
        <v>2024</v>
      </c>
      <c r="E534" s="90">
        <f>D534+1</f>
        <v>2025</v>
      </c>
      <c r="F534" s="90">
        <f>E534+1</f>
        <v>2026</v>
      </c>
      <c r="G534" s="90">
        <f>F534+1</f>
        <v>2027</v>
      </c>
      <c r="H534" s="90">
        <f>G534+1</f>
        <v>2028</v>
      </c>
    </row>
    <row r="535" spans="2:10" x14ac:dyDescent="0.55000000000000004">
      <c r="B535" t="s">
        <v>1242</v>
      </c>
      <c r="C535" s="114">
        <f>Master!H191</f>
        <v>513.42499999999973</v>
      </c>
      <c r="D535" s="114">
        <f>Master!I191</f>
        <v>1939.9205358470786</v>
      </c>
      <c r="E535" s="114">
        <f>Master!J191</f>
        <v>2650.0045856726201</v>
      </c>
      <c r="F535" s="114">
        <f>Master!K191</f>
        <v>3389.6156961287684</v>
      </c>
      <c r="G535" s="114">
        <f>Master!L191</f>
        <v>3829.5688318540124</v>
      </c>
      <c r="H535" s="114">
        <f>Master!M191</f>
        <v>4360.7916135380174</v>
      </c>
    </row>
    <row r="536" spans="2:10" x14ac:dyDescent="0.55000000000000004">
      <c r="B536" t="s">
        <v>1243</v>
      </c>
      <c r="C536" s="114">
        <v>4221</v>
      </c>
      <c r="D536" s="114">
        <v>6022.5760894350806</v>
      </c>
      <c r="E536" s="114">
        <v>6518.2772092714813</v>
      </c>
      <c r="F536" s="114">
        <v>6986.3708426197481</v>
      </c>
      <c r="G536" s="114">
        <v>7416.8264682841809</v>
      </c>
      <c r="H536" s="114">
        <v>7956.0369946419723</v>
      </c>
    </row>
    <row r="538" spans="2:10" x14ac:dyDescent="0.55000000000000004">
      <c r="B538" t="s">
        <v>748</v>
      </c>
    </row>
    <row r="539" spans="2:10" x14ac:dyDescent="0.55000000000000004">
      <c r="B539" t="s">
        <v>1244</v>
      </c>
      <c r="C539" s="112">
        <f>Master!H191/Valuation!D36</f>
        <v>1.3343229192395433E-2</v>
      </c>
      <c r="D539" s="112">
        <f>Valuation!D49</f>
        <v>5.0415940643408763E-2</v>
      </c>
      <c r="E539" s="112">
        <f>Valuation!E49</f>
        <v>6.8434409602252971E-2</v>
      </c>
      <c r="F539" s="112">
        <f>Valuation!F49</f>
        <v>8.78120654786268E-2</v>
      </c>
      <c r="G539" s="112">
        <f>Valuation!G49</f>
        <v>0.10113498247199476</v>
      </c>
      <c r="H539" s="112">
        <f>Valuation!H49</f>
        <v>0.11841984900631024</v>
      </c>
    </row>
    <row r="540" spans="2:10" x14ac:dyDescent="0.55000000000000004">
      <c r="B540" t="s">
        <v>1245</v>
      </c>
      <c r="C540" s="112">
        <v>5.3033984080594128E-2</v>
      </c>
      <c r="D540" s="112">
        <v>8.0333147784915043E-2</v>
      </c>
      <c r="E540" s="112">
        <v>9.5512998115981865E-2</v>
      </c>
      <c r="F540" s="112">
        <v>0.10970792655269511</v>
      </c>
      <c r="G540" s="112">
        <v>0.12504739921939378</v>
      </c>
      <c r="H540" s="112">
        <v>0.14431138820431466</v>
      </c>
    </row>
    <row r="542" spans="2:10" x14ac:dyDescent="0.55000000000000004">
      <c r="B542" s="90" t="s">
        <v>1246</v>
      </c>
      <c r="C542" s="90">
        <f t="shared" ref="C542:H542" si="18">C534</f>
        <v>2023</v>
      </c>
      <c r="D542" s="90">
        <f t="shared" si="18"/>
        <v>2024</v>
      </c>
      <c r="E542" s="90">
        <f t="shared" si="18"/>
        <v>2025</v>
      </c>
      <c r="F542" s="90">
        <f t="shared" si="18"/>
        <v>2026</v>
      </c>
      <c r="G542" s="90">
        <f t="shared" si="18"/>
        <v>2027</v>
      </c>
      <c r="H542" s="90">
        <f t="shared" si="18"/>
        <v>2028</v>
      </c>
    </row>
    <row r="543" spans="2:10" x14ac:dyDescent="0.55000000000000004">
      <c r="B543" t="str">
        <f>B530</f>
        <v>Block</v>
      </c>
      <c r="C543" s="112">
        <f>Master!H148/Master!G141</f>
        <v>4.0095344322427706E-3</v>
      </c>
      <c r="D543" s="112">
        <f>Master!I148/Master!H141</f>
        <v>3.819709702062643E-2</v>
      </c>
      <c r="E543" s="112">
        <f>Master!J148/Master!I141</f>
        <v>4.7444331983805661E-2</v>
      </c>
      <c r="F543" s="112">
        <f>Master!K148/Master!J141</f>
        <v>6.3459829927655795E-2</v>
      </c>
      <c r="G543" s="112">
        <f>Master!L148/Master!K141</f>
        <v>7.2777849657135463E-2</v>
      </c>
      <c r="H543" s="112">
        <f>Master!M148/Master!L141</f>
        <v>8.3150402447947844E-2</v>
      </c>
    </row>
    <row r="544" spans="2:10" x14ac:dyDescent="0.55000000000000004">
      <c r="B544" t="str">
        <f>B531</f>
        <v>PayPal</v>
      </c>
      <c r="D544" s="112">
        <v>9.2250922509225092E-2</v>
      </c>
      <c r="E544" s="112">
        <v>9.5580363970025992E-2</v>
      </c>
      <c r="F544" s="112">
        <v>9.9356875731896166E-2</v>
      </c>
      <c r="G544" s="112">
        <v>0.10346838439480351</v>
      </c>
      <c r="H544" s="112">
        <v>0.10795878768695594</v>
      </c>
    </row>
    <row r="547" spans="2:8" x14ac:dyDescent="0.55000000000000004">
      <c r="C547">
        <v>2022</v>
      </c>
      <c r="D547">
        <f>C547+1</f>
        <v>2023</v>
      </c>
      <c r="E547" s="89" t="s">
        <v>284</v>
      </c>
    </row>
    <row r="548" spans="2:8" x14ac:dyDescent="0.55000000000000004">
      <c r="B548" t="s">
        <v>1247</v>
      </c>
      <c r="C548" s="113">
        <f>Master!G391</f>
        <v>4.8111212051361894E-2</v>
      </c>
      <c r="D548" s="113">
        <f>Master!H391</f>
        <v>4.745940927446362E-2</v>
      </c>
      <c r="E548" s="113">
        <f>Master!I391</f>
        <v>5.6973254097304332E-2</v>
      </c>
      <c r="F548" s="113"/>
      <c r="G548" s="113"/>
      <c r="H548" s="113"/>
    </row>
    <row r="549" spans="2:8" x14ac:dyDescent="0.55000000000000004">
      <c r="B549" t="s">
        <v>1247</v>
      </c>
      <c r="C549" s="112">
        <v>3.3000000000000002E-2</v>
      </c>
      <c r="D549" s="112">
        <v>4.2000000000000003E-2</v>
      </c>
      <c r="E549" s="112">
        <v>4.4999999999999998E-2</v>
      </c>
    </row>
    <row r="587" spans="4:17" x14ac:dyDescent="0.55000000000000004">
      <c r="D587" s="287" t="str">
        <f>Interims!G193</f>
        <v>Q4 21</v>
      </c>
      <c r="E587" s="287" t="str">
        <f>Interims!H193</f>
        <v>Q1 22</v>
      </c>
      <c r="F587" s="287" t="str">
        <f>Interims!I193</f>
        <v>Q2 22</v>
      </c>
      <c r="G587" s="287" t="str">
        <f>Interims!J193</f>
        <v>Q3 22</v>
      </c>
      <c r="H587" s="287" t="str">
        <f>Interims!K193</f>
        <v>Q4 22</v>
      </c>
      <c r="I587" s="287" t="str">
        <f>Interims!L193</f>
        <v>Q1 23</v>
      </c>
      <c r="J587" s="287" t="str">
        <f>Interims!M193</f>
        <v>Q2 23</v>
      </c>
      <c r="K587" s="287" t="str">
        <f>Interims!N193</f>
        <v>Q3 23</v>
      </c>
      <c r="L587" s="287" t="str">
        <f>Interims!O193</f>
        <v>Q4 23</v>
      </c>
      <c r="M587" s="287" t="str">
        <f>Interims!P193</f>
        <v>Q1 24</v>
      </c>
      <c r="N587" s="287" t="str">
        <f>Interims!Q193</f>
        <v>Q2 24</v>
      </c>
    </row>
    <row r="588" spans="4:17" x14ac:dyDescent="0.55000000000000004">
      <c r="D588" s="113">
        <f>Interims!G199</f>
        <v>0.84592445328031807</v>
      </c>
      <c r="E588" s="113">
        <f>Interims!H199</f>
        <v>0.80202839756592292</v>
      </c>
      <c r="F588" s="113">
        <f>Interims!I199</f>
        <v>0.82795883361921108</v>
      </c>
      <c r="G588" s="113">
        <f>Interims!J199</f>
        <v>0.84813559322033893</v>
      </c>
      <c r="H588" s="113">
        <f>Interims!K199</f>
        <v>0.83810344827586203</v>
      </c>
      <c r="I588" s="113">
        <f>Interims!L199</f>
        <v>0.79965397923875436</v>
      </c>
      <c r="J588" s="113">
        <f>Interims!M199</f>
        <v>0.81062874251497008</v>
      </c>
      <c r="K588" s="113">
        <f>Interims!N199</f>
        <v>0.81897058823529412</v>
      </c>
      <c r="L588" s="113">
        <f>Interims!O199</f>
        <v>0.78972239902654873</v>
      </c>
      <c r="M588" s="113">
        <f>Interims!P199</f>
        <v>0.73671433576642331</v>
      </c>
      <c r="N588" s="113">
        <f>Interims!Q199</f>
        <v>0.74548948914431667</v>
      </c>
      <c r="O588" s="113"/>
      <c r="P588" s="113"/>
      <c r="Q588" s="113"/>
    </row>
  </sheetData>
  <sortState xmlns:xlrd2="http://schemas.microsoft.com/office/spreadsheetml/2017/richdata2" ref="B421:C425">
    <sortCondition descending="1" ref="C420:C425"/>
  </sortState>
  <pageMargins left="0.7" right="0.7" top="0.75" bottom="0.75" header="0.3" footer="0.3"/>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E45DFD126F1C944A14E489380A940D9" ma:contentTypeVersion="12" ma:contentTypeDescription="Create a new document." ma:contentTypeScope="" ma:versionID="135f5511df3d0be2c8bd5128510892d5">
  <xsd:schema xmlns:xsd="http://www.w3.org/2001/XMLSchema" xmlns:xs="http://www.w3.org/2001/XMLSchema" xmlns:p="http://schemas.microsoft.com/office/2006/metadata/properties" xmlns:ns2="7a64ecaf-0ff2-4962-b687-c42052c96c69" xmlns:ns3="ac44878d-96d9-4f15-b496-a71362426953" targetNamespace="http://schemas.microsoft.com/office/2006/metadata/properties" ma:root="true" ma:fieldsID="9403f04297d608c6c0e02be7f891f173" ns2:_="" ns3:_="">
    <xsd:import namespace="7a64ecaf-0ff2-4962-b687-c42052c96c69"/>
    <xsd:import namespace="ac44878d-96d9-4f15-b496-a7136242695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a64ecaf-0ff2-4962-b687-c42052c96c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e47c01aa-fa72-499e-a558-c0906cb7ca65"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c44878d-96d9-4f15-b496-a7136242695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fb3b699d-aa6c-457c-8a6e-4428a86250e7}" ma:internalName="TaxCatchAll" ma:showField="CatchAllData" ma:web="ac44878d-96d9-4f15-b496-a713624269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a64ecaf-0ff2-4962-b687-c42052c96c69">
      <Terms xmlns="http://schemas.microsoft.com/office/infopath/2007/PartnerControls"/>
    </lcf76f155ced4ddcb4097134ff3c332f>
    <TaxCatchAll xmlns="ac44878d-96d9-4f15-b496-a71362426953" xsi:nil="true"/>
  </documentManagement>
</p:properties>
</file>

<file path=customXml/itemProps1.xml><?xml version="1.0" encoding="utf-8"?>
<ds:datastoreItem xmlns:ds="http://schemas.openxmlformats.org/officeDocument/2006/customXml" ds:itemID="{16E0C253-3FC9-4E5A-8251-B603B5EC6A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a64ecaf-0ff2-4962-b687-c42052c96c69"/>
    <ds:schemaRef ds:uri="ac44878d-96d9-4f15-b496-a713624269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18294AF-636D-4A4D-A86D-724E80E4D05E}">
  <ds:schemaRefs>
    <ds:schemaRef ds:uri="http://schemas.microsoft.com/sharepoint/v3/contenttype/forms"/>
  </ds:schemaRefs>
</ds:datastoreItem>
</file>

<file path=customXml/itemProps3.xml><?xml version="1.0" encoding="utf-8"?>
<ds:datastoreItem xmlns:ds="http://schemas.openxmlformats.org/officeDocument/2006/customXml" ds:itemID="{7037881D-81D1-4056-918A-01463F41E938}">
  <ds:schemaRefs>
    <ds:schemaRef ds:uri="http://schemas.microsoft.com/office/2006/metadata/properties"/>
    <ds:schemaRef ds:uri="http://schemas.microsoft.com/office/infopath/2007/PartnerControls"/>
    <ds:schemaRef ds:uri="7a64ecaf-0ff2-4962-b687-c42052c96c69"/>
    <ds:schemaRef ds:uri="ac44878d-96d9-4f15-b496-a7136242695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Cover</vt:lpstr>
      <vt:lpstr>Master</vt:lpstr>
      <vt:lpstr>Interims</vt:lpstr>
      <vt:lpstr>Valuation</vt:lpstr>
      <vt:lpstr>Summary</vt:lpstr>
      <vt:lpstr>Consensus</vt:lpstr>
      <vt:lpstr>Guide</vt:lpstr>
      <vt:lpstr>Snaps</vt:lpstr>
      <vt:lpstr>Analysis</vt:lpstr>
      <vt:lpstr>Notes</vt:lpstr>
      <vt:lpstr>Revolut</vt:lpstr>
      <vt:lpstr>BNPL</vt:lpstr>
      <vt:lpstr>Op Metrics - feeder</vt:lpstr>
      <vt:lpstr>GAAP feeder</vt:lpstr>
      <vt:lpstr>Non GAAP feeder</vt:lpstr>
      <vt:lpstr>Segment feeder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Soomit Datta</dc:creator>
  <cp:lastModifiedBy>Soomit Datta</cp:lastModifiedBy>
  <cp:lastPrinted>2024-09-05T12:05:49Z</cp:lastPrinted>
  <dcterms:created xsi:type="dcterms:W3CDTF">2024-06-04T08:54:33Z</dcterms:created>
  <dcterms:modified xsi:type="dcterms:W3CDTF">2024-09-09T08:13:00Z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0x0101004E45DFD126F1C944A14E489380A940D9</vt:lpwstr>
  </property>
  <property fmtid="{D5CDD505-2E9C-101B-9397-08002B2CF9AE}" pid="3" name="MediaServiceImageTags">
    <vt:lpwstr/>
  </property>
</Properties>
</file>