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omments4.xml" ContentType="application/vnd.openxmlformats-officedocument.spreadsheetml.comments+xml"/>
  <Override PartName="/xl/drawings/drawing4.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S:\TELECOMS\STOCKS\EMEA\Latam\dLocal\Models\Current model\"/>
    </mc:Choice>
  </mc:AlternateContent>
  <xr:revisionPtr revIDLastSave="0" documentId="13_ncr:1_{849AD83D-6619-4420-8FCB-F43EAE874886}" xr6:coauthVersionLast="47" xr6:coauthVersionMax="47" xr10:uidLastSave="{00000000-0000-0000-0000-000000000000}"/>
  <bookViews>
    <workbookView xWindow="-96" yWindow="-96" windowWidth="20928" windowHeight="12432" xr2:uid="{54EC2C2C-7478-47F3-A91D-8D94B9BDEECF}"/>
  </bookViews>
  <sheets>
    <sheet name="Cover" sheetId="8" r:id="rId1"/>
    <sheet name="Master" sheetId="2" r:id="rId2"/>
    <sheet name="Quarts" sheetId="4" r:id="rId3"/>
    <sheet name="Analysis" sheetId="3" r:id="rId4"/>
    <sheet name="Summary" sheetId="7" r:id="rId5"/>
    <sheet name="Cons" sheetId="6" r:id="rId6"/>
    <sheet name="Guide-Cons" sheetId="11" r:id="rId7"/>
    <sheet name="Valuation" sheetId="5" r:id="rId8"/>
    <sheet name="Snaps" sheetId="9" r:id="rId9"/>
    <sheet name="Notes" sheetId="1"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Admin" hidden="1">"No"</definedName>
    <definedName name="_Fill" hidden="1">#REF!</definedName>
    <definedName name="_xlnm._FilterDatabase" hidden="1">#REF!</definedName>
    <definedName name="_GSR008" hidden="1">[1]Equipment!$E$134:$DT$134</definedName>
    <definedName name="_GSR012" hidden="1">[1]Equipment!$E$185:$DT$185</definedName>
    <definedName name="_InAdmin" hidden="1">"No"</definedName>
    <definedName name="_Key1" hidden="1">#REF!</definedName>
    <definedName name="_LegalOk" hidden="1">"No"</definedName>
    <definedName name="_MC16" hidden="1">[1]Equipment!$E$80:$DT$80</definedName>
    <definedName name="_MC28" hidden="1">[1]Equipment!$E$77:$DT$77</definedName>
    <definedName name="_Order1" hidden="1">255</definedName>
    <definedName name="_Order2" hidden="1">0</definedName>
    <definedName name="_Sort" hidden="1">#REF!</definedName>
    <definedName name="adfa" hidden="1">#REF!</definedName>
    <definedName name="anscount" hidden="1">2</definedName>
    <definedName name="AP" hidden="1">[1]Model!$E$41</definedName>
    <definedName name="ARPUInput" hidden="1">[1]Model!$E$142:$DT$142</definedName>
    <definedName name="asdfdf" hidden="1">{#N/A,#N/A,FALSE,"Statement of Ops";#N/A,#N/A,FALSE,"Trend Ops"}</definedName>
    <definedName name="Assumptions" hidden="1">[1]Model!$A$30:$A$122</definedName>
    <definedName name="AvgVoiceLines" hidden="1">[1]Model!$E$136:$DT$136</definedName>
    <definedName name="Balance_Sheet" hidden="1">'[1]Financial Statements'!$A$126:$A$177</definedName>
    <definedName name="bb" hidden="1">{#N/A,#N/A,FALSE,"Statement of Ops";#N/A,#N/A,FALSE,"Trend Ops"}</definedName>
    <definedName name="BPackClust" hidden="1">[1]Equipment!$E$226:$DT$226</definedName>
    <definedName name="BPackRTU" hidden="1">[1]Equipment!$E$220:$DT$220</definedName>
    <definedName name="BPackRTUCapex" hidden="1">[1]Capex!$E$220:$DT$220</definedName>
    <definedName name="BPackRTULife" hidden="1">[1]Capex!$C$116</definedName>
    <definedName name="BPackRTUMaint" hidden="1">[1]Capex!$E$248:$DT$248</definedName>
    <definedName name="BTS" hidden="1">[1]Equipment!$E$212:$DT$212</definedName>
    <definedName name="BTSAppRTUCapex" hidden="1">[1]Capex!$E$218:$DT$218</definedName>
    <definedName name="BTSAppRTULife" hidden="1">[1]Capex!$C$114</definedName>
    <definedName name="BTSAppRTUMaint" hidden="1">[1]Capex!$E$247:$DT$247</definedName>
    <definedName name="BTSLife" hidden="1">[1]Capex!$C$112</definedName>
    <definedName name="BTSPlatRTUCapex" hidden="1">[1]Capex!$E$217:$DT$217</definedName>
    <definedName name="BTSPlatRTULife" hidden="1">[1]Capex!$C$113</definedName>
    <definedName name="BTSPlatRTUMaint" hidden="1">[1]Capex!$E$246:$DT$246</definedName>
    <definedName name="BTSRTU" hidden="1">[1]Equipment!$E$206:$DT$206</definedName>
    <definedName name="CalcSetting" hidden="1">[1]Equipment!$B$10</definedName>
    <definedName name="CallMgmtPctInbound" hidden="1">[1]Model!$E$118:$DT$118</definedName>
    <definedName name="CallMgmtPctOutbound" hidden="1">[1]Model!$E$119:$DT$119</definedName>
    <definedName name="Card" hidden="1">[1]Equipment!$E$40:$DT$40</definedName>
    <definedName name="CardInput" hidden="1">'[1]Capex Input'!$E$48:$DT$48</definedName>
    <definedName name="Cash_Flow_Statement" hidden="1">'[1]Financial Statements'!$A$69:$A$122</definedName>
    <definedName name="CHT" hidden="1">[1]Equipment!$E$202:$DT$202</definedName>
    <definedName name="CHTInput" hidden="1">'[1]Capex Input'!$E$41:$DT$41</definedName>
    <definedName name="CMTSInputs" hidden="1">[1]Equipment!$E$13:$DT$57</definedName>
    <definedName name="CMTSOutputs" hidden="1">[1]Equipment!$E$59:$DT$68</definedName>
    <definedName name="CNAMPctInbound" hidden="1">[1]Model!$E$116:$DT$116</definedName>
    <definedName name="CNAMPctOutbound" hidden="1">[1]Model!$E$117:$DT$117</definedName>
    <definedName name="CodecInput" hidden="1">'[1]Capex Input'!$E$33:$DT$33</definedName>
    <definedName name="Cognit" hidden="1">[1]Equipment!$E$235:$DT$235</definedName>
    <definedName name="ColCount" hidden="1">[1]Equipment!$B$11</definedName>
    <definedName name="cost_of_capital" hidden="1">[1]Model!$E$43</definedName>
    <definedName name="CPULimit" hidden="1">[1]Equipment!$E$56:$DT$56</definedName>
    <definedName name="CPUPerDataSub" hidden="1">[1]Equipment!$E$36:$DT$36</definedName>
    <definedName name="CPUPerDS0" hidden="1">[1]Equipment!$E$35:$DT$35</definedName>
    <definedName name="CPUUtil" hidden="1">[1]Equipment!$E$63:$DT$63</definedName>
    <definedName name="CPUUtilData" hidden="1">[1]Equipment!$E$68:$DT$68</definedName>
    <definedName name="DB">"WIRENYPROD"</definedName>
    <definedName name="dere" hidden="1">{#N/A,#N/A,FALSE,"Statement of Ops";#N/A,#N/A,FALSE,"Trend Ops"}</definedName>
    <definedName name="dfdfd" hidden="1">{#N/A,#N/A,FALSE,"Statement of Ops";#N/A,#N/A,FALSE,"Trend Ops"}</definedName>
    <definedName name="dfsdf" hidden="1">{#N/A,#N/A,FALSE,"Statement of Ops";#N/A,#N/A,FALSE,"Trend Ops"}</definedName>
    <definedName name="dsf" hidden="1">{#N/A,#N/A,FALSE,"Statement of Ops";#N/A,#N/A,FALSE,"Trend Ops"}</definedName>
    <definedName name="DSPerDataSub" hidden="1">[1]Equipment!$E$30:$DT$30</definedName>
    <definedName name="DSPerDataSubInput" hidden="1">'[1]Capex Input'!$E$42:$DT$42</definedName>
    <definedName name="DSPerDom" hidden="1">[1]Equipment!$E$46:$DT$46</definedName>
    <definedName name="DSPerDS0" hidden="1">[1]Equipment!$E$24:$DT$24</definedName>
    <definedName name="DSUtil" hidden="1">[1]Equipment!$E$60:$DT$60</definedName>
    <definedName name="DSUtilData" hidden="1">[1]Equipment!$E$65:$DT$65</definedName>
    <definedName name="DualPctData" hidden="1">[1]Capex!$E$32:$DT$32</definedName>
    <definedName name="DualPctVoiceInput" hidden="1">[1]Model!$E$86:$DT$86</definedName>
    <definedName name="eeeeeeeeee" hidden="1">{#N/A,#N/A,FALSE,"Statement of Ops";#N/A,#N/A,FALSE,"Trend Ops"}</definedName>
    <definedName name="Equipment_and_CAPEX" hidden="1">[1]Model!$A$199:$A$265</definedName>
    <definedName name="erere" hidden="1">{#N/A,#N/A,FALSE,"Statement of Ops";#N/A,#N/A,FALSE,"Trend Ops"}</definedName>
    <definedName name="ererere" hidden="1">{#N/A,#N/A,FALSE,"Statement of Ops";#N/A,#N/A,FALSE,"Trend Ops"}</definedName>
    <definedName name="ErlangsPerLine" hidden="1">[1]Equipment!$E$29:$DT$29</definedName>
    <definedName name="ErlangsPerLineInput" hidden="1">'[1]Capex Input'!$E$40:$DT$40</definedName>
    <definedName name="g_Cumulative_Net_Income" hidden="1">[1]Results!$P$157:$AH$192</definedName>
    <definedName name="g_Discounted_Cash" hidden="1">[1]Results!$A$341:$M$376</definedName>
    <definedName name="g_Expenses" hidden="1">[1]Results!$P$203:$AH$238</definedName>
    <definedName name="g_IRR" hidden="1">[1]Results!$P$65:$AH$100</definedName>
    <definedName name="g_Net_Income" hidden="1">[1]Results!$A$157:$M$192</definedName>
    <definedName name="g_NPV" hidden="1">[1]Results!$A$65:$M$100</definedName>
    <definedName name="g_Service_Revenue" hidden="1">[1]Results!$A$203:$M$238</definedName>
    <definedName name="g_User_defined_1" hidden="1">[1]Results!$A$249:$M$284</definedName>
    <definedName name="g_User_defined_2" hidden="1">[1]Results!$P$249:$AH$284</definedName>
    <definedName name="g_User_defined_3" hidden="1">[1]Results!$A$295:$M$330</definedName>
    <definedName name="g_User_defined_4" hidden="1">[1]Results!$P$295:$AH$330</definedName>
    <definedName name="GBPUSD">[2]Summary!$C$84</definedName>
    <definedName name="GOS" hidden="1">[1]Equipment!$E$23:$DT$23</definedName>
    <definedName name="GOSInput" hidden="1">'[1]Capex Input'!$E$36:$DT$36</definedName>
    <definedName name="Graphs" hidden="1">[1]Results!$A$49:$A$62</definedName>
    <definedName name="GrossAddDual" hidden="1">[1]Model!$E$104:$DT$104</definedName>
    <definedName name="GrossAddFromHSD" hidden="1">[1]Model!$E$102:$DT$102</definedName>
    <definedName name="GrossAddVoiceOnly" hidden="1">[1]Model!$E$100:$DT$100</definedName>
    <definedName name="GrossLineAdds" hidden="1">[1]Model!$E$107:$DT$107</definedName>
    <definedName name="GSR008Data" hidden="1">[1]Equipment!$E$143:$DT$143</definedName>
    <definedName name="GSR012Data" hidden="1">[1]Equipment!$E$191:$DT$191</definedName>
    <definedName name="GSR1OC12_CMTS" hidden="1">[1]Equipment!$E$131:$DT$131</definedName>
    <definedName name="GSR1OC12Data_CMTS" hidden="1">[1]Equipment!$E$140:$DT$140</definedName>
    <definedName name="GSR4OC12_DC" hidden="1">[1]Equipment!$E$179:$DT$179</definedName>
    <definedName name="GSR4OC12ATM" hidden="1">[1]Equipment!$E$182:$DT$182</definedName>
    <definedName name="GSR4OC12Data_DC" hidden="1">[1]Equipment!$E$188:$DT$188</definedName>
    <definedName name="GSR4OC3_CMTS" hidden="1">[1]Equipment!$E$128:$DT$128</definedName>
    <definedName name="GSR4OC3Data_CMTS" hidden="1">[1]Equipment!$E$137:$DT$137</definedName>
    <definedName name="GSRCapex" hidden="1">[1]Capex!$E$266:$DT$266</definedName>
    <definedName name="GSRLife" hidden="1">[1]Capex!$C$102</definedName>
    <definedName name="GSRMaint" hidden="1">[1]Capex!$E$291:$DT$291</definedName>
    <definedName name="h.IsCSM" hidden="1">"CSModel"</definedName>
    <definedName name="HHP" hidden="1">[1]Capex!$E$12:$DT$12</definedName>
    <definedName name="HHPInput" hidden="1">[1]Model!$E$71:$DT$71</definedName>
    <definedName name="HTML_CodePage" hidden="1">1252</definedName>
    <definedName name="HTML_Description" hidden="1">"IBN Products"</definedName>
    <definedName name="HTML_Email" hidden="1">""</definedName>
    <definedName name="HTML_Header" hidden="1">"Edit"</definedName>
    <definedName name="HTML_LastUpdate" hidden="1">"24/05/97"</definedName>
    <definedName name="HTML_LineAfter" hidden="1">FALSE</definedName>
    <definedName name="HTML_LineBefore" hidden="1">TRUE</definedName>
    <definedName name="HTML_Name" hidden="1">"Mike Bibbings"</definedName>
    <definedName name="HTML_OBDlg2" hidden="1">TRUE</definedName>
    <definedName name="HTML_OBDlg4" hidden="1">TRUE</definedName>
    <definedName name="HTML_OS" hidden="1">0</definedName>
    <definedName name="HTML_PathFile" hidden="1">"C:\My Documents\mmelHTML.htm"</definedName>
    <definedName name="HTML_Title" hidden="1">"Master Edit List"</definedName>
    <definedName name="HubSize" hidden="1">[1]Equipment!$E$17:$DT$17</definedName>
    <definedName name="HubSizeInput" hidden="1">'[1]Capex Input'!$E$27:$DT$27</definedName>
    <definedName name="Income_Statement" hidden="1">'[1]Financial Statements'!$A$31:$A$65</definedName>
    <definedName name="income_tax_rate" hidden="1">[1]Model!$E$42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39420.5584027778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k" hidden="1">#REF!</definedName>
    <definedName name="LATASize" hidden="1">[1]Equipment!$E$149:$DT$149</definedName>
    <definedName name="LATASizeInput" hidden="1">'[1]Capex Input'!$E$28:$DT$28</definedName>
    <definedName name="LegalOk" hidden="1">"No"</definedName>
    <definedName name="limcount" hidden="1">1</definedName>
    <definedName name="LinesPerFN" hidden="1">[1]Equipment!$E$15:$DT$15</definedName>
    <definedName name="LinesPerSubInput" hidden="1">[1]Model!$E$77:$DT$77</definedName>
    <definedName name="lll" hidden="1">{#N/A,#N/A,FALSE,"Statement of Ops";#N/A,#N/A,FALSE,"Trend Ops"}</definedName>
    <definedName name="llll" hidden="1">{#N/A,#N/A,FALSE,"Statement of Ops";#N/A,#N/A,FALSE,"Trend Ops"}</definedName>
    <definedName name="lllll" hidden="1">{#N/A,#N/A,FALSE,"Statement of Ops";#N/A,#N/A,FALSE,"Trend Ops"}</definedName>
    <definedName name="LNPPct" hidden="1">[1]Model!$E$120:$DT$120</definedName>
    <definedName name="LookupAppRTU" hidden="1">'[1]BTS Tables'!$B$30:$B$81</definedName>
    <definedName name="LookupCPS" hidden="1">'[1]BTS Tables'!$A$3:$A$27</definedName>
    <definedName name="LookupLines" hidden="1">'[1]BTS Tables'!$A$30:$A$81</definedName>
    <definedName name="LookupPlatRTU" hidden="1">'[1]BTS Tables'!$B$3:$B$27</definedName>
    <definedName name="MC16Data" hidden="1">[1]Equipment!$E$98:$DT$98</definedName>
    <definedName name="MC28Data" hidden="1">[1]Equipment!$E$95:$DT$95</definedName>
    <definedName name="md" hidden="1">[1]Model!$E$52</definedName>
    <definedName name="MGX" hidden="1">[1]Equipment!$E$161:$DT$161</definedName>
    <definedName name="MGXCapex" hidden="1">[1]Capex!$E$267:$DT$267</definedName>
    <definedName name="MGXLife" hidden="1">[1]Capex!$C$108</definedName>
    <definedName name="MGXMaint" hidden="1">[1]Capex!$E$292:$DT$292</definedName>
    <definedName name="MinPerLineLocal" hidden="1">[1]Model!$E$111:$DT$111</definedName>
    <definedName name="MinPerLineToll" hidden="1">[1]Model!$E$112:$DT$112</definedName>
    <definedName name="mv" hidden="1">[1]Model!$E$51</definedName>
    <definedName name="OnNetMaxInput" hidden="1">'[1]Capex Input'!$E$29:$DT$29</definedName>
    <definedName name="Operations" hidden="1">[1]Model!$A$269:$A$412</definedName>
    <definedName name="OSSInput" hidden="1">'[1]Capex Input'!$E$144:$DT$144</definedName>
    <definedName name="p" hidden="1">[1]Model!$E$53</definedName>
    <definedName name="PentrData" hidden="1">[1]Equipment!$E$4:$DT$4</definedName>
    <definedName name="PentrDataInput" hidden="1">[1]Model!$E$76:$DT$76</definedName>
    <definedName name="PentrVoice" hidden="1">[1]Equipment!$E$2:$DT$2</definedName>
    <definedName name="PentrVoiceInput" hidden="1">[1]Model!$E$75:$DT$75</definedName>
    <definedName name="PHSInput" hidden="1">'[1]Capex Input'!$E$35:$DT$35</definedName>
    <definedName name="PlatformInput" hidden="1">'[1]Capex Input'!$E$47:$DT$47</definedName>
    <definedName name="_xlnm.Print_Area">#REF!</definedName>
    <definedName name="_xlnm.Print_Titles">#REF!</definedName>
    <definedName name="Q1_Account">#REF!</definedName>
    <definedName name="Q1_Coding">#REF!</definedName>
    <definedName name="Q1_Data">#REF!</definedName>
    <definedName name="Q1_Period">#REF!</definedName>
    <definedName name="Q1_TP">#REF!</definedName>
    <definedName name="Q2_Account">#REF!</definedName>
    <definedName name="Q2_Coding">#REF!</definedName>
    <definedName name="Q2_Data">#REF!</definedName>
    <definedName name="Q2_Period">#REF!</definedName>
    <definedName name="Q2_TP">#REF!</definedName>
    <definedName name="Q3_Account">#REF!</definedName>
    <definedName name="Q3_Coding">#REF!</definedName>
    <definedName name="Q3_Data">#REF!</definedName>
    <definedName name="Q3_Period">#REF!</definedName>
    <definedName name="Q3_TP">#REF!</definedName>
    <definedName name="Q4_Account">#REF!</definedName>
    <definedName name="Q4_Coding">#REF!</definedName>
    <definedName name="Q4_Data">#REF!</definedName>
    <definedName name="Q4_Period">#REF!</definedName>
    <definedName name="Q4_TP">#REF!</definedName>
    <definedName name="QC用労働時間有">'[3]03FY 2nd Hafl Latest Estimate'!$A$1:$A$2638</definedName>
    <definedName name="QC用労働時間無">'[3]03FY 2nd Hafl Latest Estimate'!$A$1:$D$618</definedName>
    <definedName name="RedundantEdgeInput" hidden="1">'[1]Capex Input'!$E$51:$DT$51</definedName>
    <definedName name="RedundantGWInput" hidden="1">'[1]Capex Input'!$E$53:$DT$53</definedName>
    <definedName name="RedundNInput" hidden="1">'[1]Capex Input'!$E$58:$DT$58</definedName>
    <definedName name="Repdate1">#REF!</definedName>
    <definedName name="Repdate2">#REF!</definedName>
    <definedName name="RF" hidden="1">[1]Equipment!$E$92:$DT$92</definedName>
    <definedName name="RFData" hidden="1">[1]Equipment!$E$110:$DT$110</definedName>
    <definedName name="rngColData">'[4]RevCost Report'!$G$1:$Y$65536,'[4]RevCost Report'!$AA$1:$BV$65536</definedName>
    <definedName name="rngColHidden">'[4]RevCost Report'!$A$1:$B$65536,'[4]RevCost Report'!$D$1:$D$65536</definedName>
    <definedName name="rngHideMissingColumns">FALSE</definedName>
    <definedName name="rngHideMissingRows">FALSE</definedName>
    <definedName name="rngRowHidden">'[4]RevCost Report'!$A$4:$IV$5,'[4]RevCost Report'!$A$11:$IV$17</definedName>
    <definedName name="RoutesPerLATA" hidden="1">[1]Model!$E$114:$DT$114</definedName>
    <definedName name="Rpt_Month">[5]★ﾒﾆｭｰ!$I$31</definedName>
    <definedName name="Rpt_Year">[5]★ﾒﾆｭｰ!$I$30</definedName>
    <definedName name="SalvagePct" hidden="1">[1]Model!$E$38</definedName>
    <definedName name="SampleInput" hidden="1">'[1]Capex Input'!$E$34:$DT$34</definedName>
    <definedName name="SAPBEXhrIndnt" hidden="1">1</definedName>
    <definedName name="SAPBEXrevision" hidden="1">0</definedName>
    <definedName name="SAPBEXsysID" hidden="1">"UBP"</definedName>
    <definedName name="SAPBEXwbID" hidden="1">"46ZQZIX9P9TMSSGKMZCTXHTXP"</definedName>
    <definedName name="sdsdsd" hidden="1">{#N/A,#N/A,FALSE,"Statement of Ops";#N/A,#N/A,FALSE,"Trend Ops"}</definedName>
    <definedName name="Select_Inc_Exp">[6]Ref!$B$12</definedName>
    <definedName name="sencount" hidden="1">2</definedName>
    <definedName name="ServerHWCapex" hidden="1">[1]Capex!$E$268:$DT$268</definedName>
    <definedName name="ServerHWMaint" hidden="1">[1]Capex!$E$293:$DT$293</definedName>
    <definedName name="Services_and_Revenue" hidden="1">[1]Model!$A$126:$A$195</definedName>
    <definedName name="sfsdf" hidden="1">{#N/A,#N/A,FALSE,"Statement of Ops";#N/A,#N/A,FALSE,"Trend Ops"}</definedName>
    <definedName name="Sheetname_Instructions">[6]Ref!#REF!</definedName>
    <definedName name="show_base">[6]WaterFall_Prep!$U$1</definedName>
    <definedName name="show_newbase">[6]WaterFall_Prep!$W$1</definedName>
    <definedName name="show_pctchange">[6]WaterFall_Prep!$Y$1</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PAPrint">[7]SPA!$A$1:$AD$48,[7]SPA!$A$90:$AD$137</definedName>
    <definedName name="subs1" hidden="1">{"Monthly Rev",#N/A,FALSE,"DetRev";"Monthly Tech",#N/A,FALSE,"DetTech";"Monthly CSR",#N/A,FALSE,"DetCSR";"Monthly Mrkt",#N/A,FALSE,"DetMrkt";"Monthly Online",#N/A,FALSE,"DetOnline";"Monthly AdSales",#N/A,FALSE,"DetAdSales";"Monthly LO",#N/A,FALSE,"DETLO";"Monthly Admin",#N/A,FALSE,"DetAdmin";"Monthly Prod",#N/A,FALSE,"DetProd";"Headcount Monthly",#N/A,FALSE,"Headcount"}</definedName>
    <definedName name="subtotal">[8]基礎ﾃﾞｰﾀ!#REF!</definedName>
    <definedName name="TA">[3]Sheet3!$A$1:$E$196</definedName>
    <definedName name="Trend_Start">[5]★ﾒﾆｭｰ!$L$31</definedName>
    <definedName name="uBR10Data" hidden="1">[1]Equipment!$E$100:$DT$100</definedName>
    <definedName name="uBR1OC12" hidden="1">[1]Equipment!$E$91:$DT$91</definedName>
    <definedName name="uBR1OC12Data" hidden="1">[1]Equipment!$E$109:$DT$109</definedName>
    <definedName name="uBR1OC3" hidden="1">[1]Equipment!$E$88:$DT$88</definedName>
    <definedName name="uBR1OC3Data" hidden="1">[1]Equipment!$E$106:$DT$106</definedName>
    <definedName name="uBR7Data" hidden="1">[1]Equipment!$E$103:$DT$103</definedName>
    <definedName name="uBRCapex" hidden="1">[1]Capex!$E$265:$DT$265</definedName>
    <definedName name="uBRLife" hidden="1">[1]Capex!$C$92</definedName>
    <definedName name="uBRMaint" hidden="1">[1]Capex!$E$290:$DT$290</definedName>
    <definedName name="UKPrint">[7]UK!$A$90:$AD$137,[7]UK!$A$1:$AD$48</definedName>
    <definedName name="uOne" hidden="1">[1]Equipment!$E$259:$DT$259</definedName>
    <definedName name="UPIBVPrint">[7]UPIBV!$A$1:$AD$48,[7]UPIBV!$A$90:$AD$137</definedName>
    <definedName name="UPIOPrint">[7]UPIO!$A$90:$AD$137,[7]UPIO!$A$1:$AD$48</definedName>
    <definedName name="UPVPPrint">[7]UPVP!$A$1:$AD$48,[7]UPVP!$A$90:$AD$137</definedName>
    <definedName name="USBandwidth" hidden="1">[1]Equipment!$E$54:$DT$54</definedName>
    <definedName name="USDBRL">[2]Summary!$C$86</definedName>
    <definedName name="USDJPY">[2]Summary!$C$87</definedName>
    <definedName name="UsefulLife" hidden="1">[1]Model!$E$37</definedName>
    <definedName name="USPerDataSub" hidden="1">[1]Equipment!$E$31:$DT$31</definedName>
    <definedName name="USPerDataSubInput" hidden="1">'[1]Capex Input'!$E$43:$DT$43</definedName>
    <definedName name="USPerDom" hidden="1">[1]Equipment!$E$47:$DT$47</definedName>
    <definedName name="USPerDS0" hidden="1">[1]Equipment!$E$25:$DT$25</definedName>
    <definedName name="USUtil" hidden="1">[1]Equipment!$E$61:$DT$61</definedName>
    <definedName name="USUtilData" hidden="1">[1]Equipment!$E$66:$DT$66</definedName>
    <definedName name="valuearea">[9]data!$AQ$26:$CS$864</definedName>
    <definedName name="variance_logic">#REF!</definedName>
    <definedName name="VerintFixed" hidden="1">[1]Equipment!$E$244:$DT$244</definedName>
    <definedName name="VerintVar" hidden="1">[1]Equipment!$E$250:$DT$250</definedName>
    <definedName name="VISM" hidden="1">[1]Equipment!$E$159:$DT$159</definedName>
    <definedName name="VoiceLines" hidden="1">[1]Model!$E$83:$DT$83</definedName>
    <definedName name="VoiceSubs" hidden="1">[1]Model!$E$81:$DT$81</definedName>
    <definedName name="WANBandwidth" hidden="1">[1]Equipment!$E$55:$DT$55</definedName>
    <definedName name="WANPerDataSub" hidden="1">[1]Equipment!$E$32:$DT$32</definedName>
    <definedName name="WANPerDS0" hidden="1">[1]Equipment!$E$26:$DT$26</definedName>
    <definedName name="WANUtil" hidden="1">[1]Equipment!$E$62:$DT$62</definedName>
    <definedName name="WANUtilData" hidden="1">[1]Equipment!$E$67:$DT$67</definedName>
    <definedName name="WhoIs" hidden="1">"Developed by Cisco Systems, August 2002"</definedName>
    <definedName name="WORKBOOK_SAPBEXq0003" comment="DP_4">"DP_4"</definedName>
    <definedName name="WORKBOOK_SAPBEXq0004" comment="DP_5">"DP_5"</definedName>
    <definedName name="WORKBOOK_SAPBEXq0009" comment="DP_6">"DP_6"</definedName>
    <definedName name="WORKBOOK_SAPBEXq0010" comment="DP_7">"DP_7"</definedName>
    <definedName name="WORKBOOK_SAPBEXq0011" comment="DP_8">"DP_8"</definedName>
    <definedName name="WORKBOOK_SAPBEXq0012" comment="DP_9">"DP_9"</definedName>
    <definedName name="WORKBOOK_SAPBEXq0015" comment="DP_10">"DP_10"</definedName>
    <definedName name="wrn.4Q._.Report." hidden="1">{"Summary OCF",#N/A,FALSE,"Summary OCF";"Rev &amp; OCF",#N/A,FALSE,"Revenue and OCF";"Exp",#N/A,FALSE,"Expenses";"Subs",#N/A,FALSE,"Subscribers"}</definedName>
    <definedName name="wrn.Budget._.Annual." hidden="1">{"Annual P&amp;L",#N/A,TRUE,"P&amp;L";"Annual Revenue 1",#N/A,TRUE,"DetRev";"Annual Revenue 2",#N/A,TRUE,"DetRev";"Annual Tech",#N/A,TRUE,"DetTech";"Annual Customer Service",#N/A,TRUE,"DetCSR";"Annual Marketing",#N/A,TRUE,"DetMrkt";"Annual Online",#N/A,TRUE,"DetOnline";"Annual Telephony",#N/A,TRUE,"DetTelephony";"Annual Adsales",#N/A,TRUE,"DetAdSales";"Annual LO",#N/A,TRUE,"DETLO";"Annual Administration",#N/A,TRUE,"DetAdmin";"Annual Product",#N/A,TRUE,"DetProd";"Annual Manpower",#N/A,TRUE,"Manpower Summary"}</definedName>
    <definedName name="wrn.Budget._.Trend." hidden="1">{"Trend P&amp;L",#N/A,TRUE,"P&amp;L";"Trend Revenue 1",#N/A,TRUE,"DetRev";"Trend Revenue 2",#N/A,TRUE,"DetRev";"Trend Tech",#N/A,TRUE,"DetTech";"Trend Customer Service",#N/A,TRUE,"DetCSR";"Trend Marketing",#N/A,TRUE,"DetMrkt";"Trend Online",#N/A,TRUE,"DetOnline";"Trend Telephony",#N/A,TRUE,"DetTelephony";"Trend Adsales",#N/A,TRUE,"DetAdSales";"Trend LO",#N/A,TRUE,"DETLO";"Trend Administration",#N/A,TRUE,"DetAdmin";"Trend Product",#N/A,TRUE,"DetProd"}</definedName>
    <definedName name="wrn.Cable._.Headcount._.Reports." hidden="1">{"Headcount Annual",#N/A,FALSE,"Headcount";"Headcount Monthly",#N/A,FALSE,"Headcount"}</definedName>
    <definedName name="wrn.Capital." hidden="1">{"Capital",#N/A,FALSE,"CapSum"}</definedName>
    <definedName name="wrn.Capital._.Report." hidden="1">{"Capital",#N/A,FALSE,"CapSum"}</definedName>
    <definedName name="wrn.Capital._.Reports." hidden="1">{"Capital Summary",#N/A,FALSE,"CapSum";"Other Capital",#N/A,FALSE,"CapDet";"Construction Report",#N/A,FALSE,"ConstRep"}</definedName>
    <definedName name="wrn.Capital._.Summary." hidden="1">{"Capital",#N/A,FALSE,"CapSum"}</definedName>
    <definedName name="wrn.Current._.Month." hidden="1">{"current month",#N/A,FALSE,"Capitalization"}</definedName>
    <definedName name="wrn.Digital._.Sub._.Detail." hidden="1">{"Digital Detail",#N/A,FALSE,"Digital"}</definedName>
    <definedName name="wrn.Financial._.Reports." hidden="1">{#N/A,#N/A,FALSE,"Statement of Ops";#N/A,#N/A,FALSE,"Trend Ops";#N/A,#N/A,FALSE,"Revenue";#N/A,#N/A,FALSE,"Trend Rev";#N/A,#N/A,FALSE,"Tech";#N/A,#N/A,FALSE,"Trend Tech";#N/A,#N/A,FALSE,"Cust Serv";#N/A,#N/A,FALSE,"Trend Cust Serv";#N/A,#N/A,FALSE,"Marketing";#N/A,#N/A,FALSE,"Trend Marketing";#N/A,#N/A,FALSE,"Online";#N/A,#N/A,FALSE,"Trend Online";#N/A,#N/A,FALSE,"Telephony";#N/A,#N/A,FALSE,"Trend Telephony";#N/A,#N/A,FALSE,"Ad Sales";#N/A,#N/A,FALSE,"Trend Ad Sales";#N/A,#N/A,FALSE,"LO";#N/A,#N/A,FALSE,"Trend LO";#N/A,#N/A,FALSE,"Admin";#N/A,#N/A,FALSE,"Trend Admin";#N/A,#N/A,FALSE,"Product";#N/A,#N/A,FALSE,"Trend Product"}</definedName>
    <definedName name="wrn.Monthly._.Financial._.Reports." hidden="1">{"Monthly Rev",#N/A,FALSE,"DetRev";"Monthly Tech",#N/A,FALSE,"DetTech";"Monthly CSR",#N/A,FALSE,"DetCSR";"Monthly Mrkt",#N/A,FALSE,"DetMrkt";"Monthly Online",#N/A,FALSE,"DetOnline";"Monthly AdSales",#N/A,FALSE,"DetAdSales";"Monthly LO",#N/A,FALSE,"DETLO";"Monthly Admin",#N/A,FALSE,"DetAdmin";"Monthly Prod",#N/A,FALSE,"DetProd";"Headcount Monthly",#N/A,FALSE,"Headcount"}</definedName>
    <definedName name="wrn.No._.Ad._.Sales._.Reports." hidden="1">{"Annual P&amp;L NoAd",#N/A,FALSE,"P&amp;L No Ad Sales";"Annual Rev NoAd",#N/A,FALSE,"DetRev No Ad Sales";"Monthly P&amp;L NoAd",#N/A,FALSE,"P&amp;L No Ad Sales";"Monthly Rev NoAd",#N/A,FALSE,"DetRev No Ad Sales"}</definedName>
    <definedName name="wrn.No._.AdSales._.Annual." hidden="1">{"P&amp;L No Ads Annual",#N/A,TRUE,"P&amp;L No Ad Sales";"Revenue No Ads Annual",#N/A,TRUE,"DetRev No Ad Sales"}</definedName>
    <definedName name="wrn.No._.AdSales._.Financial." hidden="1">{"Annual P&amp;L No Ads",#N/A,TRUE,"Trend No AdSales";"Monthly P&amp;L No Ads",#N/A,TRUE,"Trend No AdSales";"Annual Rev no Ads",#N/A,TRUE,"Trend Rev No AdSales";"Monthly Rev No Ads",#N/A,TRUE,"Trend Rev No AdSales"}</definedName>
    <definedName name="wrn.No._.Adsales._.Reports." hidden="1">{"Trend P&amp;L No Adsales",#N/A,TRUE,"P&amp;L No Ad Sales";"Annual P&amp;L No Adsales",#N/A,TRUE,"P&amp;L No Ad Sales";"Trend Revenue no Adsales",#N/A,TRUE,"DetRev No AdSales";"Annual Revenue No AdSales",#N/A,TRUE,"DetRev No AdSales"}</definedName>
    <definedName name="wrn.No._.AdSales._.Trend." hidden="1">{"P&amp;L No Ads Trend",#N/A,TRUE,"P&amp;L No Ad Sales";"Revenue No Ads Trend",#N/A,TRUE,"DetRev No Ad Sales"}</definedName>
    <definedName name="wrn.Online._.Headcount._.Reports." hidden="1">{"Online Headcount Annual",#N/A,FALSE,"Headcount";"Online Headcount Monthly",#N/A,FALSE,"Headcount"}</definedName>
    <definedName name="wrn.Online._.Sub._.Detail." hidden="1">{"Online Detail",#N/A,FALSE,"OnLine"}</definedName>
    <definedName name="wrn.Pay._.Sub._.Detail." hidden="1">{"Pay Detail",#N/A,FALSE,"Pay"}</definedName>
    <definedName name="wrn.Trend." hidden="1">{"trend",#N/A,TRUE,"Capitalization"}</definedName>
    <definedName name="wrn.Trend._.Reports." hidden="1">{"P&amp;L Trend",#N/A,TRUE,"P&amp;L";"Revenue Trend",#N/A,TRUE,"DetRev";"Tech Trend",#N/A,TRUE,"DetTech";"Customer Service Trend",#N/A,TRUE,"DetCSR";"Marketing Trend",#N/A,TRUE,"DetMrkt";"Online Trend",#N/A,TRUE,"DetOnline";"Telephony Trend",#N/A,TRUE,"DetTelephony";"Adsales Trend",#N/A,TRUE,"DetAdSales";"LO Trend",#N/A,TRUE,"DETLO";"Admin Trend",#N/A,TRUE,"DetAdmin";"Product Trend",#N/A,TRUE,"DetProd"}</definedName>
    <definedName name="wwwwwwwwwwwww" hidden="1">{#N/A,#N/A,FALSE,"Statement of Ops";#N/A,#N/A,FALSE,"Trend Ops"}</definedName>
    <definedName name="xxxx" hidden="1">{"P&amp;L Annual",#N/A,FALSE,"P&amp;L";"Rev Annual",#N/A,FALSE,"DetRev";"Tech Annual",#N/A,FALSE,"DetTech";"CSR Annual",#N/A,FALSE,"DetCSR";"Marketing Annual",#N/A,FALSE,"DetMrkt";"Ad Sales Annual",#N/A,FALSE,"DetAdSales";"LO Annual",#N/A,FALSE,"DETLO";"Admin Annual",#N/A,FALSE,"DetAdmin";"Product Annual",#N/A,FALSE,"DetProd"}</definedName>
    <definedName name="YTDcomrange1">#REF!</definedName>
    <definedName name="YTDcomrange2">#REF!</definedName>
    <definedName name="Z_FB9FEF07_E23D_4093_B787_DA7C6E65880F_.wvu.PrintTitles" hidden="1">'[10]Inputs - Debt Roll'!$A$1:$F$65536,'[10]Inputs - Debt Roll'!$A$1:$IV$9</definedName>
    <definedName name="ｸﾞﾚｰ">'[11]ﾃﾞｰﾀ加工(MTD)'!$EY$4</definedName>
    <definedName name="ｸﾞﾚｰY">'[11]ﾃﾞｰﾀ加工(YTD)'!$EY$4</definedName>
    <definedName name="チケット別日別販売実績_DAT">#REF!</definedName>
    <definedName name="ベニューリスト">#REF!</definedName>
    <definedName name="元DATA">'[3]03FY 2nd Hafl Latest Estimate'!$B$2:$J$1450</definedName>
    <definedName name="利益処分計算">'[3]03FY 2nd Hafl Latest Estimate'!#REF!</definedName>
    <definedName name="勘定科目">#REF!</definedName>
    <definedName name="印刷01">'[3]03FY 2nd Hafl Latest Estimate'!$B$4:$Z$399</definedName>
    <definedName name="印刷02">'[3]03FY 2nd Hafl Latest Estimate'!$B$400:$Z$474</definedName>
    <definedName name="反転">'[11]ﾃﾞｰﾀ加工(MTD)'!$FC$4</definedName>
    <definedName name="反転Y">'[11]ﾃﾞｰﾀ加工(YTD)'!$FC$4</definedName>
    <definedName name="基本項目_FLAG">[8]基礎ﾃﾞｰﾀ!#REF!</definedName>
    <definedName name="消税率">#REF!</definedName>
  </definedNames>
  <calcPr calcId="191029" calcMode="manual" iterate="1"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9" l="1"/>
  <c r="P20" i="9"/>
  <c r="P17" i="9"/>
  <c r="P16" i="9"/>
  <c r="P14" i="9"/>
  <c r="P11" i="9"/>
  <c r="P10" i="9"/>
  <c r="P9" i="9"/>
  <c r="P8" i="9"/>
  <c r="P7" i="9"/>
  <c r="P5" i="9"/>
  <c r="H64" i="11"/>
  <c r="H62" i="11"/>
  <c r="H60" i="11"/>
  <c r="G64" i="11"/>
  <c r="Q16" i="5" l="1"/>
  <c r="N11" i="9" l="1"/>
  <c r="N10" i="9"/>
  <c r="N9" i="9"/>
  <c r="N5" i="9"/>
  <c r="L25" i="9"/>
  <c r="L24" i="9"/>
  <c r="L23" i="9"/>
  <c r="L22" i="9"/>
  <c r="L21" i="9"/>
  <c r="L20" i="9"/>
  <c r="L18" i="9"/>
  <c r="L17" i="9"/>
  <c r="L19" i="9" s="1"/>
  <c r="L13" i="9"/>
  <c r="L12" i="9"/>
  <c r="L11" i="9"/>
  <c r="L10" i="9"/>
  <c r="L9" i="9"/>
  <c r="L8" i="9"/>
  <c r="L14" i="9" s="1"/>
  <c r="L7" i="9"/>
  <c r="L16" i="9" s="1"/>
  <c r="L6" i="9"/>
  <c r="L5" i="9"/>
  <c r="M13" i="9"/>
  <c r="K13" i="9"/>
  <c r="J13" i="9"/>
  <c r="I13" i="9"/>
  <c r="H13" i="9"/>
  <c r="G13" i="9"/>
  <c r="G12" i="9"/>
  <c r="M12" i="9"/>
  <c r="O12" i="9" s="1"/>
  <c r="O14" i="9" s="1"/>
  <c r="K12" i="9"/>
  <c r="J12" i="9"/>
  <c r="I12" i="9"/>
  <c r="H12" i="9"/>
  <c r="I62" i="2"/>
  <c r="M11" i="9"/>
  <c r="M10" i="9"/>
  <c r="M9" i="9"/>
  <c r="M8" i="9"/>
  <c r="N8" i="9" s="1"/>
  <c r="M5" i="9"/>
  <c r="F73" i="11"/>
  <c r="G1048" i="3" l="1"/>
  <c r="F1048" i="3"/>
  <c r="E1048" i="3"/>
  <c r="M1048" i="3"/>
  <c r="L1048" i="3"/>
  <c r="J1048" i="3"/>
  <c r="I1048" i="3"/>
  <c r="K1049" i="3"/>
  <c r="N1049" i="3"/>
  <c r="J62" i="2"/>
  <c r="Y102" i="4"/>
  <c r="Z102" i="4" s="1"/>
  <c r="AA102" i="4" s="1"/>
  <c r="AB102" i="4" s="1"/>
  <c r="AC102" i="4" s="1"/>
  <c r="AD102" i="4" s="1"/>
  <c r="AE102" i="4" s="1"/>
  <c r="Y103" i="4"/>
  <c r="Z103" i="4" s="1"/>
  <c r="AA103" i="4" s="1"/>
  <c r="AB103" i="4" s="1"/>
  <c r="AC103" i="4" s="1"/>
  <c r="AD103" i="4" s="1"/>
  <c r="AE103" i="4" s="1"/>
  <c r="C20" i="7"/>
  <c r="C19" i="7"/>
  <c r="BH2" i="4"/>
  <c r="BG3" i="4"/>
  <c r="BG2" i="4"/>
  <c r="BF3" i="4"/>
  <c r="BF2" i="4"/>
  <c r="BE3" i="4"/>
  <c r="BE2" i="4"/>
  <c r="M24" i="7"/>
  <c r="L24" i="7"/>
  <c r="K24" i="7"/>
  <c r="M22" i="7"/>
  <c r="L22" i="7"/>
  <c r="K22" i="7"/>
  <c r="J22" i="7"/>
  <c r="J20" i="7"/>
  <c r="J19" i="7"/>
  <c r="J18" i="7"/>
  <c r="J12" i="7"/>
  <c r="F27" i="7"/>
  <c r="E27" i="7"/>
  <c r="C28" i="7"/>
  <c r="C25" i="7"/>
  <c r="C24" i="7"/>
  <c r="C23" i="7"/>
  <c r="C21" i="7"/>
  <c r="C18" i="7"/>
  <c r="F9" i="7"/>
  <c r="E9" i="7"/>
  <c r="D9" i="7"/>
  <c r="F5" i="7"/>
  <c r="E5" i="7"/>
  <c r="D5" i="7"/>
  <c r="C9" i="7"/>
  <c r="C7" i="7"/>
  <c r="C5" i="7"/>
  <c r="C26" i="7" s="1"/>
  <c r="O279" i="2"/>
  <c r="N279" i="2"/>
  <c r="M279" i="2"/>
  <c r="L279" i="2"/>
  <c r="K279" i="2"/>
  <c r="J279" i="2"/>
  <c r="I279" i="2"/>
  <c r="I245" i="2"/>
  <c r="J245" i="2" s="1"/>
  <c r="K245" i="2" s="1"/>
  <c r="L245" i="2" s="1"/>
  <c r="M245" i="2" s="1"/>
  <c r="N245" i="2" s="1"/>
  <c r="O245" i="2" s="1"/>
  <c r="H251" i="2"/>
  <c r="H253" i="2"/>
  <c r="I253" i="2" s="1"/>
  <c r="J253" i="2" s="1"/>
  <c r="K253" i="2" s="1"/>
  <c r="L253" i="2" s="1"/>
  <c r="M253" i="2" s="1"/>
  <c r="N253" i="2" s="1"/>
  <c r="O253" i="2" s="1"/>
  <c r="H243" i="2"/>
  <c r="H246" i="2" s="1"/>
  <c r="Z1047" i="3"/>
  <c r="Y1047" i="3"/>
  <c r="X1047" i="3"/>
  <c r="W1047" i="3"/>
  <c r="V1047" i="3"/>
  <c r="U1047" i="3"/>
  <c r="T1047" i="3"/>
  <c r="S1047" i="3"/>
  <c r="R1047" i="3"/>
  <c r="Q1047" i="3"/>
  <c r="P1047" i="3"/>
  <c r="O1047" i="3"/>
  <c r="C27" i="7" l="1"/>
  <c r="D27" i="7"/>
  <c r="N1096" i="3"/>
  <c r="M1096" i="3"/>
  <c r="L1096" i="3"/>
  <c r="J1096" i="3"/>
  <c r="I1096" i="3"/>
  <c r="N1095" i="3"/>
  <c r="M1095" i="3"/>
  <c r="L1095" i="3"/>
  <c r="J1095" i="3"/>
  <c r="I1095" i="3"/>
  <c r="N1094" i="3"/>
  <c r="M1094" i="3"/>
  <c r="L1094" i="3"/>
  <c r="J1094" i="3"/>
  <c r="I1094" i="3"/>
  <c r="N1092" i="3"/>
  <c r="M1092" i="3"/>
  <c r="L1092" i="3"/>
  <c r="J1092" i="3"/>
  <c r="I1092" i="3"/>
  <c r="N1091" i="3"/>
  <c r="M1091" i="3"/>
  <c r="L1091" i="3"/>
  <c r="J1091" i="3"/>
  <c r="I1091" i="3"/>
  <c r="N1090" i="3"/>
  <c r="M1090" i="3"/>
  <c r="L1090" i="3"/>
  <c r="J1090" i="3"/>
  <c r="I1090" i="3"/>
  <c r="N1089" i="3"/>
  <c r="M1089" i="3"/>
  <c r="L1089" i="3"/>
  <c r="J1089" i="3"/>
  <c r="I1089" i="3"/>
  <c r="N1088" i="3"/>
  <c r="M1088" i="3"/>
  <c r="L1088" i="3"/>
  <c r="J1088" i="3"/>
  <c r="I1088" i="3"/>
  <c r="H1081" i="3"/>
  <c r="G1081" i="3"/>
  <c r="F1081" i="3"/>
  <c r="E1081" i="3"/>
  <c r="D1081" i="3"/>
  <c r="H1080" i="3"/>
  <c r="G1080" i="3"/>
  <c r="F1080" i="3"/>
  <c r="E1080" i="3"/>
  <c r="D1080" i="3"/>
  <c r="H1079" i="3"/>
  <c r="G1079" i="3"/>
  <c r="F1079" i="3"/>
  <c r="E1079" i="3"/>
  <c r="D1079" i="3"/>
  <c r="H1077" i="3"/>
  <c r="G1077" i="3"/>
  <c r="F1077" i="3"/>
  <c r="E1077" i="3"/>
  <c r="D1077" i="3"/>
  <c r="H1076" i="3"/>
  <c r="G1076" i="3"/>
  <c r="F1076" i="3"/>
  <c r="E1076" i="3"/>
  <c r="D1076" i="3"/>
  <c r="H1075" i="3"/>
  <c r="G1075" i="3"/>
  <c r="F1075" i="3"/>
  <c r="E1075" i="3"/>
  <c r="D1075" i="3"/>
  <c r="H1074" i="3"/>
  <c r="G1074" i="3"/>
  <c r="F1074" i="3"/>
  <c r="E1074" i="3"/>
  <c r="D1074" i="3"/>
  <c r="H1073" i="3"/>
  <c r="G1073" i="3"/>
  <c r="F1073" i="3"/>
  <c r="E1073" i="3"/>
  <c r="D1073" i="3"/>
  <c r="H1070" i="3"/>
  <c r="G1070" i="3"/>
  <c r="F1070" i="3"/>
  <c r="E1070" i="3"/>
  <c r="D1070" i="3"/>
  <c r="N1068" i="3"/>
  <c r="M1068" i="3"/>
  <c r="L1068" i="3"/>
  <c r="J1068" i="3"/>
  <c r="I1068" i="3"/>
  <c r="N1067" i="3"/>
  <c r="M1067" i="3"/>
  <c r="L1067" i="3"/>
  <c r="J1067" i="3"/>
  <c r="I1067" i="3"/>
  <c r="H1067" i="3"/>
  <c r="G1067" i="3"/>
  <c r="F1067" i="3"/>
  <c r="E1067" i="3"/>
  <c r="D1067" i="3"/>
  <c r="N1066" i="3"/>
  <c r="M1066" i="3"/>
  <c r="L1066" i="3"/>
  <c r="J1066" i="3"/>
  <c r="I1066" i="3"/>
  <c r="H1066" i="3"/>
  <c r="G1066" i="3"/>
  <c r="F1066" i="3"/>
  <c r="E1066" i="3"/>
  <c r="D1066" i="3"/>
  <c r="N1064" i="3"/>
  <c r="M1064" i="3"/>
  <c r="L1064" i="3"/>
  <c r="J1064" i="3"/>
  <c r="I1064" i="3"/>
  <c r="H1064" i="3"/>
  <c r="G1064" i="3"/>
  <c r="F1064" i="3"/>
  <c r="E1064" i="3"/>
  <c r="D1064" i="3"/>
  <c r="N1063" i="3"/>
  <c r="M1063" i="3"/>
  <c r="L1063" i="3"/>
  <c r="J1063" i="3"/>
  <c r="I1063" i="3"/>
  <c r="H1063" i="3"/>
  <c r="G1063" i="3"/>
  <c r="F1063" i="3"/>
  <c r="E1063" i="3"/>
  <c r="D1063" i="3"/>
  <c r="N1062" i="3"/>
  <c r="M1062" i="3"/>
  <c r="L1062" i="3"/>
  <c r="J1062" i="3"/>
  <c r="I1062" i="3"/>
  <c r="H1062" i="3"/>
  <c r="G1062" i="3"/>
  <c r="F1062" i="3"/>
  <c r="E1062" i="3"/>
  <c r="D1062" i="3"/>
  <c r="N1061" i="3"/>
  <c r="M1061" i="3"/>
  <c r="L1061" i="3"/>
  <c r="J1061" i="3"/>
  <c r="I1061" i="3"/>
  <c r="H1061" i="3"/>
  <c r="G1061" i="3"/>
  <c r="F1061" i="3"/>
  <c r="E1061" i="3"/>
  <c r="D1061" i="3"/>
  <c r="N1060" i="3"/>
  <c r="M1060" i="3"/>
  <c r="L1060" i="3"/>
  <c r="J1060" i="3"/>
  <c r="I1060" i="3"/>
  <c r="H1060" i="3"/>
  <c r="G1060" i="3"/>
  <c r="F1060" i="3"/>
  <c r="E1060" i="3"/>
  <c r="D1060" i="3"/>
  <c r="B1070" i="3"/>
  <c r="B1069" i="3"/>
  <c r="B1082" i="3" s="1"/>
  <c r="B1097" i="3" s="1"/>
  <c r="B1068" i="3"/>
  <c r="B1081" i="3" s="1"/>
  <c r="B1096" i="3" s="1"/>
  <c r="B1067" i="3"/>
  <c r="B1080" i="3" s="1"/>
  <c r="B1095" i="3" s="1"/>
  <c r="B1066" i="3"/>
  <c r="B1079" i="3" s="1"/>
  <c r="B1094" i="3" s="1"/>
  <c r="B1065" i="3"/>
  <c r="B1078" i="3" s="1"/>
  <c r="B1093" i="3" s="1"/>
  <c r="B1064" i="3"/>
  <c r="B1077" i="3" s="1"/>
  <c r="B1092" i="3" s="1"/>
  <c r="B1063" i="3"/>
  <c r="B1076" i="3" s="1"/>
  <c r="B1091" i="3" s="1"/>
  <c r="B1062" i="3"/>
  <c r="B1075" i="3" s="1"/>
  <c r="B1090" i="3" s="1"/>
  <c r="B1061" i="3"/>
  <c r="B1074" i="3" s="1"/>
  <c r="B1089" i="3" s="1"/>
  <c r="B1060" i="3"/>
  <c r="B1073" i="3" s="1"/>
  <c r="B1088" i="3" s="1"/>
  <c r="O1059" i="3"/>
  <c r="N1059" i="3"/>
  <c r="M1059" i="3"/>
  <c r="L1059" i="3"/>
  <c r="K1059" i="3"/>
  <c r="J1059" i="3"/>
  <c r="I1059" i="3"/>
  <c r="H1059" i="3"/>
  <c r="G1059" i="3"/>
  <c r="F1059" i="3"/>
  <c r="E1059" i="3"/>
  <c r="D1059" i="3"/>
  <c r="J112" i="2" l="1"/>
  <c r="L105" i="2"/>
  <c r="M105" i="2" s="1"/>
  <c r="N105" i="2" s="1"/>
  <c r="O105" i="2" s="1"/>
  <c r="D1035" i="3" l="1"/>
  <c r="E1035" i="3" s="1"/>
  <c r="F1035" i="3" s="1"/>
  <c r="K1032" i="3"/>
  <c r="J1032" i="3"/>
  <c r="I1032" i="3"/>
  <c r="H1032" i="3"/>
  <c r="I1028" i="3"/>
  <c r="K1028" i="3"/>
  <c r="J1028" i="3"/>
  <c r="H1028" i="3"/>
  <c r="I1021" i="3"/>
  <c r="J1021" i="3" s="1"/>
  <c r="K1021" i="3" s="1"/>
  <c r="D1021" i="3"/>
  <c r="E1021" i="3" s="1"/>
  <c r="F1021" i="3" s="1"/>
  <c r="AD119" i="4"/>
  <c r="AD106" i="4" s="1"/>
  <c r="AD104" i="4" s="1"/>
  <c r="AC119" i="4"/>
  <c r="AC106" i="4" s="1"/>
  <c r="AC104" i="4" s="1"/>
  <c r="AB119" i="4"/>
  <c r="AB106" i="4" s="1"/>
  <c r="AB104" i="4" s="1"/>
  <c r="AE118" i="4"/>
  <c r="AE117" i="4"/>
  <c r="AE139" i="4"/>
  <c r="W139" i="4"/>
  <c r="W140" i="4" s="1"/>
  <c r="W143" i="4" s="1"/>
  <c r="T106" i="4"/>
  <c r="U106" i="4"/>
  <c r="V106" i="4"/>
  <c r="Z119" i="4"/>
  <c r="Z106" i="4" s="1"/>
  <c r="Z104" i="4" s="1"/>
  <c r="Y119" i="4"/>
  <c r="Y106" i="4" s="1"/>
  <c r="Y104" i="4" s="1"/>
  <c r="S106" i="4"/>
  <c r="W105" i="4"/>
  <c r="W106" i="4" s="1"/>
  <c r="AG25" i="4"/>
  <c r="K125" i="2"/>
  <c r="L125" i="2" s="1"/>
  <c r="M125" i="2" s="1"/>
  <c r="N125" i="2" s="1"/>
  <c r="O125" i="2" s="1"/>
  <c r="AD44" i="4"/>
  <c r="AC44" i="4"/>
  <c r="AB44" i="4"/>
  <c r="Z44" i="4"/>
  <c r="Y44" i="4"/>
  <c r="AD77" i="4"/>
  <c r="N1081" i="3" s="1"/>
  <c r="AD76" i="4"/>
  <c r="N1080" i="3" s="1"/>
  <c r="AD75" i="4"/>
  <c r="N1079" i="3" s="1"/>
  <c r="AD72" i="4"/>
  <c r="N1077" i="3" s="1"/>
  <c r="AD71" i="4"/>
  <c r="N1076" i="3" s="1"/>
  <c r="AD70" i="4"/>
  <c r="N1075" i="3" s="1"/>
  <c r="AD69" i="4"/>
  <c r="N1074" i="3" s="1"/>
  <c r="AD68" i="4"/>
  <c r="N1073" i="3" s="1"/>
  <c r="AC77" i="4"/>
  <c r="M1081" i="3" s="1"/>
  <c r="AC76" i="4"/>
  <c r="M1080" i="3" s="1"/>
  <c r="AC75" i="4"/>
  <c r="M1079" i="3" s="1"/>
  <c r="AC72" i="4"/>
  <c r="M1077" i="3" s="1"/>
  <c r="AC71" i="4"/>
  <c r="M1076" i="3" s="1"/>
  <c r="AC70" i="4"/>
  <c r="M1075" i="3" s="1"/>
  <c r="AC69" i="4"/>
  <c r="M1074" i="3" s="1"/>
  <c r="AC68" i="4"/>
  <c r="M1073" i="3" s="1"/>
  <c r="AB77" i="4"/>
  <c r="L1081" i="3" s="1"/>
  <c r="AB76" i="4"/>
  <c r="L1080" i="3" s="1"/>
  <c r="AB75" i="4"/>
  <c r="L1079" i="3" s="1"/>
  <c r="AB72" i="4"/>
  <c r="L1077" i="3" s="1"/>
  <c r="AB71" i="4"/>
  <c r="L1076" i="3" s="1"/>
  <c r="AB70" i="4"/>
  <c r="L1075" i="3" s="1"/>
  <c r="AB69" i="4"/>
  <c r="L1074" i="3" s="1"/>
  <c r="AB68" i="4"/>
  <c r="L1073" i="3" s="1"/>
  <c r="H87" i="2"/>
  <c r="B174" i="2"/>
  <c r="B173" i="2"/>
  <c r="B172" i="2"/>
  <c r="B171" i="2"/>
  <c r="B170" i="2"/>
  <c r="B169" i="2"/>
  <c r="B168" i="2"/>
  <c r="B167" i="2"/>
  <c r="I114" i="2"/>
  <c r="AH69" i="4" s="1"/>
  <c r="I138" i="2"/>
  <c r="AH75" i="4" s="1"/>
  <c r="J143" i="2"/>
  <c r="AI76" i="4" s="1"/>
  <c r="I143" i="2"/>
  <c r="AH76" i="4" s="1"/>
  <c r="I148" i="2"/>
  <c r="AH77" i="4" s="1"/>
  <c r="H141" i="2"/>
  <c r="H162" i="2" s="1"/>
  <c r="H148" i="2"/>
  <c r="H143" i="2"/>
  <c r="H138" i="2"/>
  <c r="H129" i="2"/>
  <c r="H124" i="2"/>
  <c r="H119" i="2"/>
  <c r="H114" i="2"/>
  <c r="H115" i="2" s="1"/>
  <c r="H104" i="2"/>
  <c r="Z77" i="4"/>
  <c r="J1081" i="3" s="1"/>
  <c r="Z76" i="4"/>
  <c r="J1080" i="3" s="1"/>
  <c r="Z75" i="4"/>
  <c r="J1079" i="3" s="1"/>
  <c r="Y77" i="4"/>
  <c r="I1081" i="3" s="1"/>
  <c r="Y76" i="4"/>
  <c r="I1080" i="3" s="1"/>
  <c r="Y75" i="4"/>
  <c r="I1079" i="3" s="1"/>
  <c r="Z72" i="4"/>
  <c r="J1077" i="3" s="1"/>
  <c r="Y72" i="4"/>
  <c r="I1077" i="3" s="1"/>
  <c r="Z71" i="4"/>
  <c r="J1076" i="3" s="1"/>
  <c r="Y71" i="4"/>
  <c r="I1076" i="3" s="1"/>
  <c r="Z70" i="4"/>
  <c r="J1075" i="3" s="1"/>
  <c r="Y70" i="4"/>
  <c r="I1075" i="3" s="1"/>
  <c r="Z69" i="4"/>
  <c r="J1074" i="3" s="1"/>
  <c r="Y69" i="4"/>
  <c r="I1074" i="3" s="1"/>
  <c r="Z68" i="4"/>
  <c r="J1073" i="3" s="1"/>
  <c r="Y68" i="4"/>
  <c r="I1073" i="3" s="1"/>
  <c r="W90" i="4"/>
  <c r="H1095" i="3" s="1"/>
  <c r="V90" i="4"/>
  <c r="G1095" i="3" s="1"/>
  <c r="U90" i="4"/>
  <c r="F1095" i="3" s="1"/>
  <c r="T90" i="4"/>
  <c r="E1095" i="3" s="1"/>
  <c r="S90" i="4"/>
  <c r="D1095" i="3" s="1"/>
  <c r="W89" i="4"/>
  <c r="H1094" i="3" s="1"/>
  <c r="V89" i="4"/>
  <c r="G1094" i="3" s="1"/>
  <c r="U89" i="4"/>
  <c r="F1094" i="3" s="1"/>
  <c r="T89" i="4"/>
  <c r="E1094" i="3" s="1"/>
  <c r="S89" i="4"/>
  <c r="D1094" i="3" s="1"/>
  <c r="W86" i="4"/>
  <c r="H1092" i="3" s="1"/>
  <c r="V86" i="4"/>
  <c r="G1092" i="3" s="1"/>
  <c r="U86" i="4"/>
  <c r="F1092" i="3" s="1"/>
  <c r="T86" i="4"/>
  <c r="E1092" i="3" s="1"/>
  <c r="S86" i="4"/>
  <c r="D1092" i="3" s="1"/>
  <c r="W85" i="4"/>
  <c r="H1091" i="3" s="1"/>
  <c r="V85" i="4"/>
  <c r="G1091" i="3" s="1"/>
  <c r="U85" i="4"/>
  <c r="F1091" i="3" s="1"/>
  <c r="T85" i="4"/>
  <c r="E1091" i="3" s="1"/>
  <c r="S85" i="4"/>
  <c r="D1091" i="3" s="1"/>
  <c r="W84" i="4"/>
  <c r="H1090" i="3" s="1"/>
  <c r="V84" i="4"/>
  <c r="G1090" i="3" s="1"/>
  <c r="U84" i="4"/>
  <c r="F1090" i="3" s="1"/>
  <c r="T84" i="4"/>
  <c r="E1090" i="3" s="1"/>
  <c r="S84" i="4"/>
  <c r="D1090" i="3" s="1"/>
  <c r="W83" i="4"/>
  <c r="H1089" i="3" s="1"/>
  <c r="V83" i="4"/>
  <c r="G1089" i="3" s="1"/>
  <c r="U83" i="4"/>
  <c r="F1089" i="3" s="1"/>
  <c r="T83" i="4"/>
  <c r="E1089" i="3" s="1"/>
  <c r="S83" i="4"/>
  <c r="D1089" i="3" s="1"/>
  <c r="W82" i="4"/>
  <c r="H1088" i="3" s="1"/>
  <c r="V82" i="4"/>
  <c r="G1088" i="3" s="1"/>
  <c r="U82" i="4"/>
  <c r="F1088" i="3" s="1"/>
  <c r="T82" i="4"/>
  <c r="E1088" i="3" s="1"/>
  <c r="S82" i="4"/>
  <c r="D1088" i="3" s="1"/>
  <c r="W78" i="4"/>
  <c r="H1082" i="3" s="1"/>
  <c r="V78" i="4"/>
  <c r="G1082" i="3" s="1"/>
  <c r="U78" i="4"/>
  <c r="F1082" i="3" s="1"/>
  <c r="T78" i="4"/>
  <c r="E1082" i="3" s="1"/>
  <c r="S78" i="4"/>
  <c r="D1082" i="3" s="1"/>
  <c r="W73" i="4"/>
  <c r="H1078" i="3" s="1"/>
  <c r="V73" i="4"/>
  <c r="G1078" i="3" s="1"/>
  <c r="U73" i="4"/>
  <c r="F1078" i="3" s="1"/>
  <c r="T73" i="4"/>
  <c r="E1078" i="3" s="1"/>
  <c r="S73" i="4"/>
  <c r="D1078" i="3" s="1"/>
  <c r="B78" i="4"/>
  <c r="B92" i="4" s="1"/>
  <c r="B77" i="4"/>
  <c r="B91" i="4" s="1"/>
  <c r="B76" i="4"/>
  <c r="B90" i="4" s="1"/>
  <c r="B75" i="4"/>
  <c r="B89" i="4" s="1"/>
  <c r="B73" i="4"/>
  <c r="B87" i="4" s="1"/>
  <c r="B72" i="4"/>
  <c r="B86" i="4" s="1"/>
  <c r="B71" i="4"/>
  <c r="B85" i="4" s="1"/>
  <c r="B70" i="4"/>
  <c r="B84" i="4" s="1"/>
  <c r="B69" i="4"/>
  <c r="B83" i="4" s="1"/>
  <c r="B68" i="4"/>
  <c r="B82" i="4" s="1"/>
  <c r="AD34" i="4"/>
  <c r="N1069" i="3" s="1"/>
  <c r="AC34" i="4"/>
  <c r="M1069" i="3" s="1"/>
  <c r="AB34" i="4"/>
  <c r="L1069" i="3" s="1"/>
  <c r="Z34" i="4"/>
  <c r="J1069" i="3" s="1"/>
  <c r="Y34" i="4"/>
  <c r="I1069" i="3" s="1"/>
  <c r="J146" i="2"/>
  <c r="K146" i="2" s="1"/>
  <c r="I151" i="2"/>
  <c r="AH33" i="4"/>
  <c r="J136" i="2"/>
  <c r="AI31" i="4" s="1"/>
  <c r="AE31" i="4" s="1"/>
  <c r="O1066" i="3" s="1"/>
  <c r="AI32" i="4"/>
  <c r="AE32" i="4" s="1"/>
  <c r="O1067" i="3" s="1"/>
  <c r="AH32" i="4"/>
  <c r="AA32" i="4" s="1"/>
  <c r="K1067" i="3" s="1"/>
  <c r="AD29" i="4"/>
  <c r="N1065" i="3" s="1"/>
  <c r="AC29" i="4"/>
  <c r="M1065" i="3" s="1"/>
  <c r="AB29" i="4"/>
  <c r="L1065" i="3" s="1"/>
  <c r="BC3" i="4"/>
  <c r="BB3" i="4"/>
  <c r="AD1" i="4"/>
  <c r="AC1" i="4"/>
  <c r="W1" i="4"/>
  <c r="Y1" i="4"/>
  <c r="AA117" i="4"/>
  <c r="BA144" i="4"/>
  <c r="BA124" i="4"/>
  <c r="BA100" i="4"/>
  <c r="BA99" i="4"/>
  <c r="BA35" i="4"/>
  <c r="H1071" i="3" s="1"/>
  <c r="BA3" i="4"/>
  <c r="E1011" i="3"/>
  <c r="E1004" i="3"/>
  <c r="K991" i="3"/>
  <c r="L991" i="3" s="1"/>
  <c r="L993" i="3" s="1"/>
  <c r="K989" i="3"/>
  <c r="L989" i="3" s="1"/>
  <c r="J989" i="3"/>
  <c r="J993" i="3"/>
  <c r="C985" i="3"/>
  <c r="J990" i="3" s="1"/>
  <c r="J992" i="3" s="1"/>
  <c r="D985" i="3"/>
  <c r="K990" i="3" s="1"/>
  <c r="O35" i="9"/>
  <c r="O34" i="9"/>
  <c r="P35" i="9"/>
  <c r="P34" i="9"/>
  <c r="G35" i="9"/>
  <c r="H35" i="9"/>
  <c r="I35" i="9"/>
  <c r="G34" i="9"/>
  <c r="H34" i="9"/>
  <c r="I34" i="9"/>
  <c r="Q35" i="9"/>
  <c r="Q34" i="9"/>
  <c r="W118" i="4"/>
  <c r="W147" i="4" s="1"/>
  <c r="W145" i="4"/>
  <c r="K23" i="9" s="1"/>
  <c r="W109" i="4"/>
  <c r="W7" i="4"/>
  <c r="W8" i="4" s="1"/>
  <c r="W85" i="9" s="1"/>
  <c r="W13" i="4"/>
  <c r="W14" i="4" s="1"/>
  <c r="W105" i="9" s="1"/>
  <c r="W11" i="4"/>
  <c r="W5" i="4"/>
  <c r="W125" i="4"/>
  <c r="K21" i="9" s="1"/>
  <c r="V97" i="4"/>
  <c r="W53" i="4"/>
  <c r="W50" i="4"/>
  <c r="W46" i="4"/>
  <c r="K6" i="9" s="1"/>
  <c r="W44" i="4"/>
  <c r="W29" i="4"/>
  <c r="H1065" i="3" s="1"/>
  <c r="W38" i="4"/>
  <c r="M249" i="9"/>
  <c r="M248" i="9"/>
  <c r="M247" i="9"/>
  <c r="M246" i="9"/>
  <c r="M245" i="9"/>
  <c r="M244" i="9"/>
  <c r="M243" i="9"/>
  <c r="BA2" i="4"/>
  <c r="W83" i="9"/>
  <c r="O74" i="9"/>
  <c r="O73" i="9"/>
  <c r="O72" i="9"/>
  <c r="O71" i="9"/>
  <c r="O70" i="9"/>
  <c r="O19" i="9"/>
  <c r="K22" i="9"/>
  <c r="K20" i="9"/>
  <c r="K11" i="9"/>
  <c r="K10" i="9"/>
  <c r="K9" i="9"/>
  <c r="K8" i="9"/>
  <c r="K7" i="9"/>
  <c r="K5" i="9"/>
  <c r="K973" i="3"/>
  <c r="K965" i="3"/>
  <c r="J973" i="3"/>
  <c r="I973" i="3"/>
  <c r="H973" i="3"/>
  <c r="J972" i="3"/>
  <c r="I972" i="3"/>
  <c r="H972" i="3"/>
  <c r="J965" i="3"/>
  <c r="I965" i="3"/>
  <c r="H965" i="3"/>
  <c r="J35" i="9" l="1"/>
  <c r="AB122" i="4"/>
  <c r="AC122" i="4"/>
  <c r="AD122" i="4"/>
  <c r="AA139" i="4"/>
  <c r="BF44" i="4"/>
  <c r="Y122" i="4"/>
  <c r="Z122" i="4"/>
  <c r="BG44" i="4"/>
  <c r="BE44" i="4"/>
  <c r="AK75" i="4"/>
  <c r="U79" i="4"/>
  <c r="F1083" i="3" s="1"/>
  <c r="AK69" i="4"/>
  <c r="AK77" i="4"/>
  <c r="W119" i="4"/>
  <c r="V79" i="4"/>
  <c r="G1083" i="3" s="1"/>
  <c r="W79" i="4"/>
  <c r="AH90" i="4"/>
  <c r="AK76" i="4"/>
  <c r="AG68" i="4"/>
  <c r="AG71" i="4"/>
  <c r="AG69" i="4"/>
  <c r="AG83" i="4" s="1"/>
  <c r="AG72" i="4"/>
  <c r="AG75" i="4"/>
  <c r="AG70" i="4"/>
  <c r="AG76" i="4"/>
  <c r="AG77" i="4"/>
  <c r="AH91" i="4"/>
  <c r="AB73" i="4"/>
  <c r="S79" i="4"/>
  <c r="D1083" i="3" s="1"/>
  <c r="Z73" i="4"/>
  <c r="J1078" i="3" s="1"/>
  <c r="AI90" i="4"/>
  <c r="T79" i="4"/>
  <c r="E1083" i="3" s="1"/>
  <c r="AG32" i="4"/>
  <c r="AA77" i="4"/>
  <c r="K1081" i="3" s="1"/>
  <c r="AE76" i="4"/>
  <c r="AB78" i="4"/>
  <c r="AD73" i="4"/>
  <c r="AH78" i="4"/>
  <c r="AA75" i="4"/>
  <c r="K1079" i="3" s="1"/>
  <c r="AA69" i="4"/>
  <c r="K1074" i="3" s="1"/>
  <c r="AC73" i="4"/>
  <c r="Z78" i="4"/>
  <c r="AA76" i="4"/>
  <c r="AC78" i="4"/>
  <c r="Y78" i="4"/>
  <c r="I1082" i="3" s="1"/>
  <c r="AD78" i="4"/>
  <c r="W87" i="4"/>
  <c r="H1093" i="3" s="1"/>
  <c r="Y73" i="4"/>
  <c r="I1078" i="3" s="1"/>
  <c r="J148" i="2"/>
  <c r="AI77" i="4" s="1"/>
  <c r="AE77" i="4" s="1"/>
  <c r="O1081" i="3" s="1"/>
  <c r="K148" i="2"/>
  <c r="H152" i="2"/>
  <c r="J138" i="2"/>
  <c r="H144" i="2"/>
  <c r="I152" i="2"/>
  <c r="I153" i="2" s="1"/>
  <c r="H133" i="2"/>
  <c r="AD35" i="4"/>
  <c r="AB35" i="4"/>
  <c r="L1070" i="3" s="1"/>
  <c r="AC35" i="4"/>
  <c r="W84" i="9"/>
  <c r="W104" i="9"/>
  <c r="AI33" i="4"/>
  <c r="L146" i="2"/>
  <c r="J151" i="2"/>
  <c r="K141" i="2"/>
  <c r="AA118" i="4"/>
  <c r="W52" i="4"/>
  <c r="W148" i="4"/>
  <c r="K24" i="9"/>
  <c r="W51" i="4"/>
  <c r="K992" i="3"/>
  <c r="K993" i="3"/>
  <c r="L990" i="3"/>
  <c r="L992" i="3" s="1"/>
  <c r="J34" i="9"/>
  <c r="I33" i="9"/>
  <c r="I31" i="9"/>
  <c r="K14" i="9"/>
  <c r="I37" i="9"/>
  <c r="I32" i="9"/>
  <c r="I30" i="9"/>
  <c r="Q31" i="9"/>
  <c r="Q32" i="9"/>
  <c r="Q33" i="9"/>
  <c r="Q30" i="9"/>
  <c r="H974" i="3"/>
  <c r="I974" i="3"/>
  <c r="J974" i="3"/>
  <c r="W55" i="4" l="1"/>
  <c r="H1083" i="3"/>
  <c r="W95" i="4"/>
  <c r="H1085" i="3" s="1"/>
  <c r="E1052" i="3"/>
  <c r="AD87" i="4"/>
  <c r="N1093" i="3" s="1"/>
  <c r="N1078" i="3"/>
  <c r="AE90" i="4"/>
  <c r="O1095" i="3" s="1"/>
  <c r="O1080" i="3"/>
  <c r="AC46" i="4"/>
  <c r="M1070" i="3"/>
  <c r="AD92" i="4"/>
  <c r="N1097" i="3" s="1"/>
  <c r="N1082" i="3"/>
  <c r="AC92" i="4"/>
  <c r="M1097" i="3" s="1"/>
  <c r="M1082" i="3"/>
  <c r="AB92" i="4"/>
  <c r="L1097" i="3" s="1"/>
  <c r="L1082" i="3"/>
  <c r="AA90" i="4"/>
  <c r="K1095" i="3" s="1"/>
  <c r="K1080" i="3"/>
  <c r="AB87" i="4"/>
  <c r="L1093" i="3" s="1"/>
  <c r="L1078" i="3"/>
  <c r="AC87" i="4"/>
  <c r="M1093" i="3" s="1"/>
  <c r="M1078" i="3"/>
  <c r="Z92" i="4"/>
  <c r="J1097" i="3" s="1"/>
  <c r="J1082" i="3"/>
  <c r="AD46" i="4"/>
  <c r="N1070" i="3"/>
  <c r="W93" i="4"/>
  <c r="H1098" i="3" s="1"/>
  <c r="V99" i="4"/>
  <c r="V100" i="4" s="1"/>
  <c r="K17" i="9"/>
  <c r="W121" i="4"/>
  <c r="W122" i="4" s="1"/>
  <c r="W57" i="4"/>
  <c r="W56" i="4"/>
  <c r="W127" i="4"/>
  <c r="BA79" i="4"/>
  <c r="H1084" i="3" s="1"/>
  <c r="AB46" i="4"/>
  <c r="BE35" i="4"/>
  <c r="L1071" i="3" s="1"/>
  <c r="AB79" i="4"/>
  <c r="Q1052" i="3" s="1"/>
  <c r="Q1050" i="3" s="1"/>
  <c r="Q1051" i="3" s="1"/>
  <c r="Y92" i="4"/>
  <c r="I1097" i="3" s="1"/>
  <c r="AK78" i="4"/>
  <c r="AG90" i="4"/>
  <c r="AG78" i="4"/>
  <c r="AG73" i="4"/>
  <c r="J152" i="2"/>
  <c r="J153" i="2" s="1"/>
  <c r="AI75" i="4"/>
  <c r="AD79" i="4"/>
  <c r="AC79" i="4"/>
  <c r="AA78" i="4"/>
  <c r="K1082" i="3" s="1"/>
  <c r="Y79" i="4"/>
  <c r="AE33" i="4"/>
  <c r="O1068" i="3" s="1"/>
  <c r="AI91" i="4"/>
  <c r="Z79" i="4"/>
  <c r="L141" i="2"/>
  <c r="K143" i="2"/>
  <c r="M146" i="2"/>
  <c r="L148" i="2"/>
  <c r="AI34" i="4"/>
  <c r="I36" i="9"/>
  <c r="D986" i="3"/>
  <c r="K995" i="3" s="1"/>
  <c r="Y124" i="4" l="1"/>
  <c r="M20" i="9" s="1"/>
  <c r="N20" i="9" s="1"/>
  <c r="M17" i="9"/>
  <c r="N17" i="9" s="1"/>
  <c r="M1083" i="3"/>
  <c r="T1052" i="3"/>
  <c r="Q1054" i="3"/>
  <c r="N1083" i="3"/>
  <c r="W1052" i="3"/>
  <c r="D1050" i="3"/>
  <c r="D1048" i="3" s="1"/>
  <c r="K1052" i="3"/>
  <c r="J1083" i="3"/>
  <c r="H1052" i="3"/>
  <c r="I1083" i="3"/>
  <c r="AB55" i="4"/>
  <c r="AB57" i="4" s="1"/>
  <c r="L1083" i="3"/>
  <c r="K19" i="9"/>
  <c r="K16" i="9"/>
  <c r="M37" i="9"/>
  <c r="M36" i="9" s="1"/>
  <c r="Q36" i="9" s="1"/>
  <c r="K18" i="9"/>
  <c r="AB93" i="4"/>
  <c r="L1098" i="3" s="1"/>
  <c r="AD93" i="4"/>
  <c r="N1098" i="3" s="1"/>
  <c r="BG79" i="4"/>
  <c r="N1084" i="3" s="1"/>
  <c r="AD124" i="4"/>
  <c r="AB124" i="4"/>
  <c r="BE79" i="4"/>
  <c r="L1084" i="3" s="1"/>
  <c r="AC124" i="4"/>
  <c r="BF79" i="4"/>
  <c r="M1084" i="3" s="1"/>
  <c r="AB95" i="4"/>
  <c r="L1085" i="3" s="1"/>
  <c r="W129" i="4"/>
  <c r="K25" i="9" s="1"/>
  <c r="AG79" i="4"/>
  <c r="AE75" i="4"/>
  <c r="AI78" i="4"/>
  <c r="AE78" i="4" s="1"/>
  <c r="O1082" i="3" s="1"/>
  <c r="AI89" i="4"/>
  <c r="AD55" i="4"/>
  <c r="AD57" i="4" s="1"/>
  <c r="AD95" i="4"/>
  <c r="N1085" i="3" s="1"/>
  <c r="AC93" i="4"/>
  <c r="M1098" i="3" s="1"/>
  <c r="AC55" i="4"/>
  <c r="AC95" i="4"/>
  <c r="M1085" i="3" s="1"/>
  <c r="AE34" i="4"/>
  <c r="O1069" i="3" s="1"/>
  <c r="AE91" i="4"/>
  <c r="O1096" i="3" s="1"/>
  <c r="M141" i="2"/>
  <c r="L143" i="2"/>
  <c r="N146" i="2"/>
  <c r="M148" i="2"/>
  <c r="G973" i="3"/>
  <c r="F973" i="3"/>
  <c r="C973" i="3"/>
  <c r="E973" i="3"/>
  <c r="D973" i="3"/>
  <c r="G972" i="3"/>
  <c r="F972" i="3"/>
  <c r="E972" i="3"/>
  <c r="D972" i="3"/>
  <c r="C972" i="3"/>
  <c r="G968" i="3"/>
  <c r="F968" i="3"/>
  <c r="E968" i="3"/>
  <c r="D968" i="3"/>
  <c r="C968" i="3"/>
  <c r="G967" i="3"/>
  <c r="F967" i="3"/>
  <c r="E967" i="3"/>
  <c r="D967" i="3"/>
  <c r="C967" i="3"/>
  <c r="B974" i="3"/>
  <c r="B981" i="3" s="1"/>
  <c r="B973" i="3"/>
  <c r="B980" i="3" s="1"/>
  <c r="B972" i="3"/>
  <c r="B979" i="3" s="1"/>
  <c r="G965" i="3"/>
  <c r="F965" i="3"/>
  <c r="E965" i="3"/>
  <c r="D965" i="3"/>
  <c r="C965" i="3"/>
  <c r="M19" i="9" l="1"/>
  <c r="Q37" i="9"/>
  <c r="D989" i="3" s="1"/>
  <c r="D1007" i="3" s="1"/>
  <c r="D987" i="3"/>
  <c r="K997" i="3" s="1"/>
  <c r="AB56" i="4"/>
  <c r="K1050" i="3"/>
  <c r="K1048" i="3" s="1"/>
  <c r="W1054" i="3"/>
  <c r="H1050" i="3"/>
  <c r="H1048" i="3" s="1"/>
  <c r="T1054" i="3"/>
  <c r="C1050" i="3"/>
  <c r="P1051" i="3"/>
  <c r="AE89" i="4"/>
  <c r="O1094" i="3" s="1"/>
  <c r="O1079" i="3"/>
  <c r="D993" i="3"/>
  <c r="D995" i="3" s="1"/>
  <c r="D1010" i="3"/>
  <c r="E1010" i="3" s="1"/>
  <c r="AB127" i="4"/>
  <c r="AB129" i="4" s="1"/>
  <c r="AB108" i="4"/>
  <c r="AB125" i="4"/>
  <c r="AC125" i="4"/>
  <c r="AC108" i="4"/>
  <c r="AC127" i="4"/>
  <c r="AC129" i="4" s="1"/>
  <c r="AD127" i="4"/>
  <c r="AD129" i="4" s="1"/>
  <c r="AD108" i="4"/>
  <c r="AD125" i="4"/>
  <c r="D991" i="3"/>
  <c r="E1007" i="3" s="1"/>
  <c r="AE92" i="4"/>
  <c r="O1097" i="3" s="1"/>
  <c r="AI92" i="4"/>
  <c r="AD56" i="4"/>
  <c r="AC57" i="4"/>
  <c r="AC56" i="4"/>
  <c r="O146" i="2"/>
  <c r="N148" i="2"/>
  <c r="N141" i="2"/>
  <c r="M143" i="2"/>
  <c r="F980" i="3"/>
  <c r="K999" i="3"/>
  <c r="K996" i="3"/>
  <c r="D976" i="3"/>
  <c r="E976" i="3"/>
  <c r="G980" i="3"/>
  <c r="C976" i="3"/>
  <c r="F979" i="3"/>
  <c r="G979" i="3"/>
  <c r="D980" i="3"/>
  <c r="E980" i="3"/>
  <c r="F976" i="3"/>
  <c r="C979" i="3"/>
  <c r="G976" i="3"/>
  <c r="D979" i="3"/>
  <c r="C980" i="3"/>
  <c r="E979" i="3"/>
  <c r="E969" i="3"/>
  <c r="C974" i="3"/>
  <c r="E974" i="3"/>
  <c r="C969" i="3"/>
  <c r="D969" i="3"/>
  <c r="D974" i="3"/>
  <c r="F969" i="3"/>
  <c r="G969" i="3"/>
  <c r="O1051" i="3" l="1"/>
  <c r="C1048" i="3"/>
  <c r="L996" i="3"/>
  <c r="D1012" i="3"/>
  <c r="E1012" i="3" s="1"/>
  <c r="E1013" i="3" s="1"/>
  <c r="D1008" i="3"/>
  <c r="AC109" i="4"/>
  <c r="AC140" i="4"/>
  <c r="AC142" i="4" s="1"/>
  <c r="AC144" i="4" s="1"/>
  <c r="AC145" i="4" s="1"/>
  <c r="AB140" i="4"/>
  <c r="AB142" i="4" s="1"/>
  <c r="AB144" i="4" s="1"/>
  <c r="AB145" i="4" s="1"/>
  <c r="AB109" i="4"/>
  <c r="AD109" i="4"/>
  <c r="AD140" i="4"/>
  <c r="AD142" i="4" s="1"/>
  <c r="AD144" i="4" s="1"/>
  <c r="AD145" i="4" s="1"/>
  <c r="F981" i="3"/>
  <c r="C981" i="3"/>
  <c r="O148" i="2"/>
  <c r="O141" i="2"/>
  <c r="N143" i="2"/>
  <c r="L999" i="3"/>
  <c r="L997" i="3" s="1"/>
  <c r="E1008" i="3"/>
  <c r="E1002" i="3" s="1"/>
  <c r="E1003" i="3" s="1"/>
  <c r="E1005" i="3" s="1"/>
  <c r="G981" i="3"/>
  <c r="D981" i="3"/>
  <c r="E981" i="3"/>
  <c r="K963" i="3"/>
  <c r="J963" i="3"/>
  <c r="I963" i="3"/>
  <c r="H963" i="3"/>
  <c r="K953" i="3"/>
  <c r="J953" i="3"/>
  <c r="I953" i="3"/>
  <c r="H953" i="3"/>
  <c r="K955" i="3"/>
  <c r="J955" i="3"/>
  <c r="I955" i="3"/>
  <c r="H955" i="3"/>
  <c r="E961" i="3"/>
  <c r="O961" i="3" s="1"/>
  <c r="D961" i="3"/>
  <c r="N961" i="3" s="1"/>
  <c r="E960" i="3"/>
  <c r="O960" i="3" s="1"/>
  <c r="D960" i="3"/>
  <c r="N960" i="3" s="1"/>
  <c r="C961" i="3"/>
  <c r="M961" i="3" s="1"/>
  <c r="C960" i="3"/>
  <c r="M960" i="3" s="1"/>
  <c r="E950" i="3"/>
  <c r="O950" i="3" s="1"/>
  <c r="D950" i="3"/>
  <c r="N950" i="3" s="1"/>
  <c r="C950" i="3"/>
  <c r="M950" i="3" s="1"/>
  <c r="B961" i="3"/>
  <c r="B960" i="3"/>
  <c r="B959" i="3"/>
  <c r="B956" i="3"/>
  <c r="B954" i="3"/>
  <c r="B953" i="3"/>
  <c r="B952" i="3"/>
  <c r="B951" i="3"/>
  <c r="F949" i="3"/>
  <c r="E949" i="3"/>
  <c r="D949" i="3"/>
  <c r="C949" i="3"/>
  <c r="H949" i="3" s="1"/>
  <c r="M949" i="3" s="1"/>
  <c r="L995" i="3" l="1"/>
  <c r="O143" i="2"/>
  <c r="I949" i="3"/>
  <c r="N949" i="3" s="1"/>
  <c r="J949" i="3"/>
  <c r="O949" i="3" s="1"/>
  <c r="K949" i="3"/>
  <c r="P949" i="3" s="1"/>
  <c r="L928" i="3"/>
  <c r="M928" i="3" s="1"/>
  <c r="H928" i="3"/>
  <c r="I928" i="3" s="1"/>
  <c r="C941" i="3"/>
  <c r="K941" i="3" s="1"/>
  <c r="D928" i="3"/>
  <c r="E928" i="3" s="1"/>
  <c r="D63" i="11"/>
  <c r="V121" i="4" l="1"/>
  <c r="AH25" i="4"/>
  <c r="AH83" i="4" s="1"/>
  <c r="H267" i="2"/>
  <c r="G267" i="2"/>
  <c r="H299" i="2"/>
  <c r="H297" i="2"/>
  <c r="H289" i="2"/>
  <c r="H288" i="2"/>
  <c r="G289" i="2"/>
  <c r="G288" i="2"/>
  <c r="H227" i="2"/>
  <c r="H224" i="2"/>
  <c r="H136" i="2"/>
  <c r="H127" i="2"/>
  <c r="AG28" i="4" s="1"/>
  <c r="AG86" i="4" s="1"/>
  <c r="H122" i="2"/>
  <c r="AG27" i="4" s="1"/>
  <c r="AG85" i="4" s="1"/>
  <c r="H117" i="2"/>
  <c r="H102" i="2"/>
  <c r="H46" i="2"/>
  <c r="H44" i="2"/>
  <c r="C64" i="11"/>
  <c r="C62" i="11"/>
  <c r="C60" i="11"/>
  <c r="D65" i="11"/>
  <c r="I26" i="11"/>
  <c r="K26" i="11"/>
  <c r="G72" i="11" s="1"/>
  <c r="Q19" i="11"/>
  <c r="V19" i="11"/>
  <c r="Q20" i="11"/>
  <c r="V20" i="11"/>
  <c r="Q21" i="11"/>
  <c r="V21" i="11"/>
  <c r="N22" i="11"/>
  <c r="N23" i="11" s="1"/>
  <c r="Q22" i="11"/>
  <c r="V22" i="11"/>
  <c r="M23" i="11"/>
  <c r="O23" i="11"/>
  <c r="P23" i="11"/>
  <c r="Q23" i="11" s="1"/>
  <c r="R23" i="11"/>
  <c r="S23" i="11"/>
  <c r="T23" i="11"/>
  <c r="U23" i="11"/>
  <c r="W23" i="11"/>
  <c r="X23" i="11"/>
  <c r="Y23" i="11"/>
  <c r="Q24" i="11"/>
  <c r="V24" i="11"/>
  <c r="M25" i="11"/>
  <c r="N25" i="11"/>
  <c r="O25" i="11"/>
  <c r="P25" i="11"/>
  <c r="R25" i="11"/>
  <c r="S25" i="11"/>
  <c r="T25" i="11"/>
  <c r="U25" i="11"/>
  <c r="M26" i="11"/>
  <c r="O26" i="11"/>
  <c r="P26" i="11"/>
  <c r="R26" i="11"/>
  <c r="S26" i="11"/>
  <c r="T26" i="11"/>
  <c r="U26" i="11"/>
  <c r="V1" i="4"/>
  <c r="V55" i="4"/>
  <c r="V53" i="4"/>
  <c r="V50" i="4"/>
  <c r="V95" i="4"/>
  <c r="G1085" i="3" s="1"/>
  <c r="V139" i="4"/>
  <c r="V140" i="4" s="1"/>
  <c r="V144" i="4" s="1"/>
  <c r="V118" i="4"/>
  <c r="V119" i="4" s="1"/>
  <c r="V109" i="4"/>
  <c r="V38" i="4"/>
  <c r="V13" i="4"/>
  <c r="V14" i="4" s="1"/>
  <c r="V7" i="4"/>
  <c r="V8" i="4" s="1"/>
  <c r="V5" i="4"/>
  <c r="V122" i="4" l="1"/>
  <c r="H120" i="2"/>
  <c r="AG26" i="4"/>
  <c r="AG84" i="4" s="1"/>
  <c r="H139" i="2"/>
  <c r="AG31" i="4"/>
  <c r="AG89" i="4" s="1"/>
  <c r="H156" i="2"/>
  <c r="AG24" i="4"/>
  <c r="H105" i="2"/>
  <c r="H125" i="2"/>
  <c r="I127" i="2"/>
  <c r="H130" i="2"/>
  <c r="AA25" i="4"/>
  <c r="K1061" i="3" s="1"/>
  <c r="V52" i="4"/>
  <c r="C943" i="3"/>
  <c r="K943" i="3" s="1"/>
  <c r="C63" i="11"/>
  <c r="C66" i="11"/>
  <c r="V147" i="4"/>
  <c r="V148" i="4" s="1"/>
  <c r="C65" i="11"/>
  <c r="V51" i="4"/>
  <c r="V145" i="4"/>
  <c r="V143" i="4"/>
  <c r="V23" i="11"/>
  <c r="V56" i="4"/>
  <c r="V57" i="4"/>
  <c r="AG29" i="4" l="1"/>
  <c r="AG87" i="4" s="1"/>
  <c r="AG82" i="4"/>
  <c r="AA83" i="4"/>
  <c r="K1089" i="3" s="1"/>
  <c r="I129" i="2"/>
  <c r="AH72" i="4" s="1"/>
  <c r="AK72" i="4" s="1"/>
  <c r="J127" i="2"/>
  <c r="AI28" i="4" s="1"/>
  <c r="AE28" i="4" s="1"/>
  <c r="O1064" i="3" s="1"/>
  <c r="J122" i="2"/>
  <c r="I124" i="2"/>
  <c r="AH71" i="4" s="1"/>
  <c r="AK71" i="4" s="1"/>
  <c r="C942" i="3"/>
  <c r="K942" i="3" s="1"/>
  <c r="F961" i="3"/>
  <c r="P961" i="3" s="1"/>
  <c r="K972" i="3"/>
  <c r="K974" i="3" s="1"/>
  <c r="G974" i="3"/>
  <c r="V46" i="4"/>
  <c r="V44" i="4"/>
  <c r="D66" i="11"/>
  <c r="V41" i="4"/>
  <c r="V29" i="4"/>
  <c r="G1065" i="3" s="1"/>
  <c r="V127" i="4"/>
  <c r="V125" i="4"/>
  <c r="V93" i="4"/>
  <c r="G1098" i="3" s="1"/>
  <c r="D943" i="3" l="1"/>
  <c r="L943" i="3" s="1"/>
  <c r="K127" i="2"/>
  <c r="E943" i="3" s="1"/>
  <c r="M943" i="3" s="1"/>
  <c r="AA71" i="4"/>
  <c r="K1076" i="3" s="1"/>
  <c r="AA72" i="4"/>
  <c r="K1077" i="3" s="1"/>
  <c r="V161" i="4"/>
  <c r="V157" i="4" s="1"/>
  <c r="V158" i="4" s="1"/>
  <c r="V87" i="4"/>
  <c r="G1093" i="3" s="1"/>
  <c r="K129" i="2"/>
  <c r="J124" i="2"/>
  <c r="AI71" i="4" s="1"/>
  <c r="J129" i="2"/>
  <c r="AI72" i="4" s="1"/>
  <c r="L127" i="2"/>
  <c r="L249" i="9"/>
  <c r="L248" i="9"/>
  <c r="L247" i="9"/>
  <c r="L246" i="9"/>
  <c r="L245" i="9"/>
  <c r="L244" i="9"/>
  <c r="L243" i="9"/>
  <c r="V104" i="9"/>
  <c r="V105" i="9"/>
  <c r="AZ144" i="4"/>
  <c r="AZ124" i="4"/>
  <c r="AZ100" i="4"/>
  <c r="AZ99" i="4"/>
  <c r="AZ79" i="4"/>
  <c r="AZ35" i="4"/>
  <c r="G1071" i="3" s="1"/>
  <c r="AZ3" i="4"/>
  <c r="AZ2" i="4"/>
  <c r="V85" i="9"/>
  <c r="V84" i="9"/>
  <c r="V83" i="9"/>
  <c r="V129" i="4" l="1"/>
  <c r="G1084" i="3"/>
  <c r="V162" i="4"/>
  <c r="AE71" i="4"/>
  <c r="O1076" i="3" s="1"/>
  <c r="AE72" i="4"/>
  <c r="AI86" i="4"/>
  <c r="L129" i="2"/>
  <c r="AI915" i="3"/>
  <c r="AF915" i="3"/>
  <c r="AB915" i="3"/>
  <c r="S915" i="3"/>
  <c r="R915" i="3"/>
  <c r="Q915" i="3"/>
  <c r="V914" i="3"/>
  <c r="U914" i="3"/>
  <c r="H904" i="3"/>
  <c r="F904" i="3" s="1"/>
  <c r="F903" i="3"/>
  <c r="H903" i="3" s="1"/>
  <c r="J903" i="3" s="1"/>
  <c r="J905" i="3" s="1"/>
  <c r="I11" i="9"/>
  <c r="O33" i="9" s="1"/>
  <c r="I10" i="9"/>
  <c r="O32" i="9" s="1"/>
  <c r="I9" i="9"/>
  <c r="O31" i="9" s="1"/>
  <c r="I8" i="9"/>
  <c r="O30" i="9" s="1"/>
  <c r="J11" i="9"/>
  <c r="P33" i="9" s="1"/>
  <c r="J10" i="9"/>
  <c r="P32" i="9" s="1"/>
  <c r="J9" i="9"/>
  <c r="P31" i="9" s="1"/>
  <c r="J8" i="9"/>
  <c r="P30" i="9" s="1"/>
  <c r="J25" i="9"/>
  <c r="J24" i="9"/>
  <c r="J23" i="9"/>
  <c r="J22" i="9"/>
  <c r="J21" i="9"/>
  <c r="J20" i="9"/>
  <c r="J17" i="9"/>
  <c r="L37" i="9" s="1"/>
  <c r="J7" i="9"/>
  <c r="J6" i="9"/>
  <c r="J5" i="9"/>
  <c r="G11" i="9"/>
  <c r="F11" i="9"/>
  <c r="E11" i="9"/>
  <c r="D11" i="9"/>
  <c r="C11" i="9"/>
  <c r="G10" i="9"/>
  <c r="F10" i="9"/>
  <c r="E10" i="9"/>
  <c r="D10" i="9"/>
  <c r="C10" i="9"/>
  <c r="G9" i="9"/>
  <c r="F9" i="9"/>
  <c r="E9" i="9"/>
  <c r="D9" i="9"/>
  <c r="C9" i="9"/>
  <c r="G8" i="9"/>
  <c r="F8" i="9"/>
  <c r="E8" i="9"/>
  <c r="D8" i="9"/>
  <c r="C8" i="9"/>
  <c r="H11" i="9"/>
  <c r="H10" i="9"/>
  <c r="H9" i="9"/>
  <c r="H8" i="9"/>
  <c r="C9" i="11"/>
  <c r="C8" i="11"/>
  <c r="AE86" i="4" l="1"/>
  <c r="O1092" i="3" s="1"/>
  <c r="O1077" i="3"/>
  <c r="J14" i="9"/>
  <c r="C987" i="3"/>
  <c r="L36" i="9"/>
  <c r="G31" i="9"/>
  <c r="G30" i="9"/>
  <c r="G32" i="9"/>
  <c r="G33" i="9"/>
  <c r="P37" i="9"/>
  <c r="C989" i="3" s="1"/>
  <c r="H37" i="9"/>
  <c r="M38" i="9"/>
  <c r="N37" i="9"/>
  <c r="H30" i="9"/>
  <c r="J30" i="9" s="1"/>
  <c r="H31" i="9"/>
  <c r="J31" i="9" s="1"/>
  <c r="H32" i="9"/>
  <c r="J32" i="9" s="1"/>
  <c r="H33" i="9"/>
  <c r="J33" i="9" s="1"/>
  <c r="U915" i="3"/>
  <c r="F905" i="3"/>
  <c r="I917" i="3" s="1"/>
  <c r="R917" i="3" s="1"/>
  <c r="J16" i="9"/>
  <c r="J19" i="9"/>
  <c r="V915" i="3"/>
  <c r="AH915" i="3"/>
  <c r="J18" i="9"/>
  <c r="N36" i="9" l="1"/>
  <c r="H36" i="9"/>
  <c r="P36" i="9" s="1"/>
  <c r="C986" i="3"/>
  <c r="J995" i="3" s="1"/>
  <c r="J997" i="3"/>
  <c r="C993" i="3"/>
  <c r="D1002" i="3" s="1"/>
  <c r="D1003" i="3" s="1"/>
  <c r="D1005" i="3" s="1"/>
  <c r="J917" i="3"/>
  <c r="S917" i="3" s="1"/>
  <c r="V917" i="3" s="1"/>
  <c r="H917" i="3"/>
  <c r="Q917" i="3" s="1"/>
  <c r="U917" i="3" s="1"/>
  <c r="J37" i="9"/>
  <c r="I38" i="9"/>
  <c r="AU1285" i="1"/>
  <c r="J36" i="9" l="1"/>
  <c r="J996" i="3"/>
  <c r="J999" i="3"/>
  <c r="AS1282" i="1"/>
  <c r="C13" i="7"/>
  <c r="C12" i="7"/>
  <c r="G248" i="2"/>
  <c r="F65" i="11"/>
  <c r="D54" i="11"/>
  <c r="D861" i="3"/>
  <c r="D858" i="3"/>
  <c r="C858" i="3"/>
  <c r="B863" i="3"/>
  <c r="B862" i="3"/>
  <c r="D849" i="3"/>
  <c r="D855" i="3"/>
  <c r="D833" i="3"/>
  <c r="D832" i="3"/>
  <c r="G44" i="2"/>
  <c r="F44" i="2"/>
  <c r="E44" i="2"/>
  <c r="D44" i="2"/>
  <c r="F66" i="11" l="1"/>
  <c r="D815" i="3"/>
  <c r="C813" i="3"/>
  <c r="E813" i="3" s="1"/>
  <c r="J727" i="3" l="1"/>
  <c r="I727" i="3"/>
  <c r="H727" i="3"/>
  <c r="G727" i="3"/>
  <c r="F727" i="3"/>
  <c r="E727" i="3"/>
  <c r="D727" i="3"/>
  <c r="E730" i="3"/>
  <c r="D730" i="3"/>
  <c r="E728" i="3"/>
  <c r="D728" i="3"/>
  <c r="C730" i="3"/>
  <c r="C728" i="3"/>
  <c r="C727" i="3"/>
  <c r="D731" i="3" l="1"/>
  <c r="C731" i="3"/>
  <c r="C729" i="3"/>
  <c r="D729" i="3"/>
  <c r="E731" i="3"/>
  <c r="E729" i="3"/>
  <c r="D715" i="3" l="1"/>
  <c r="D714" i="3"/>
  <c r="D713" i="3"/>
  <c r="C711" i="3"/>
  <c r="B714" i="3"/>
  <c r="B713" i="3"/>
  <c r="B712" i="3"/>
  <c r="B711" i="3"/>
  <c r="D708" i="3"/>
  <c r="D707" i="3"/>
  <c r="C705" i="3"/>
  <c r="G112" i="2"/>
  <c r="G157" i="2" s="1"/>
  <c r="I108" i="2"/>
  <c r="H108" i="2"/>
  <c r="E959" i="3"/>
  <c r="D959" i="3"/>
  <c r="G675" i="3"/>
  <c r="J680" i="3"/>
  <c r="I680" i="3"/>
  <c r="H680" i="3"/>
  <c r="F680" i="3"/>
  <c r="E680" i="3"/>
  <c r="D680" i="3"/>
  <c r="C680" i="3"/>
  <c r="C959" i="3" l="1"/>
  <c r="M959" i="3" s="1"/>
  <c r="O959" i="3"/>
  <c r="N959" i="3"/>
  <c r="C6" i="11"/>
  <c r="P680" i="3"/>
  <c r="M675" i="3"/>
  <c r="L675" i="3"/>
  <c r="K675" i="3"/>
  <c r="T675" i="3"/>
  <c r="S675" i="3"/>
  <c r="R675" i="3"/>
  <c r="Q675" i="3"/>
  <c r="P675" i="3"/>
  <c r="O675" i="3"/>
  <c r="N675" i="3"/>
  <c r="J675" i="3"/>
  <c r="I675" i="3"/>
  <c r="H675" i="3"/>
  <c r="F675" i="3"/>
  <c r="E675" i="3"/>
  <c r="D675" i="3"/>
  <c r="C675" i="3"/>
  <c r="J684" i="3"/>
  <c r="I684" i="3"/>
  <c r="H684" i="3"/>
  <c r="F684" i="3"/>
  <c r="E684" i="3"/>
  <c r="M682" i="3"/>
  <c r="L682" i="3"/>
  <c r="K682" i="3"/>
  <c r="J682" i="3"/>
  <c r="I682" i="3"/>
  <c r="H682" i="3"/>
  <c r="F682" i="3"/>
  <c r="E682" i="3"/>
  <c r="K676" i="3"/>
  <c r="D684" i="3"/>
  <c r="D682" i="3"/>
  <c r="C684" i="3"/>
  <c r="B682" i="3"/>
  <c r="C682" i="3"/>
  <c r="B676" i="3"/>
  <c r="G127" i="2"/>
  <c r="G160" i="2" s="1"/>
  <c r="G122" i="2"/>
  <c r="G159" i="2" s="1"/>
  <c r="G117" i="2"/>
  <c r="G158" i="2" s="1"/>
  <c r="G102" i="2"/>
  <c r="N680" i="3" l="1"/>
  <c r="AH27" i="4"/>
  <c r="AI27" i="4"/>
  <c r="G109" i="2"/>
  <c r="G156" i="2"/>
  <c r="G132" i="2"/>
  <c r="H109" i="2"/>
  <c r="I117" i="2"/>
  <c r="I119" i="2" s="1"/>
  <c r="AH70" i="4" s="1"/>
  <c r="AK70" i="4" s="1"/>
  <c r="Q680" i="3"/>
  <c r="I683" i="3"/>
  <c r="G684" i="3"/>
  <c r="H683" i="3"/>
  <c r="J683" i="3"/>
  <c r="E683" i="3"/>
  <c r="F683" i="3"/>
  <c r="D683" i="3"/>
  <c r="K684" i="3"/>
  <c r="U41" i="4"/>
  <c r="T41" i="4"/>
  <c r="S41" i="4"/>
  <c r="R41" i="4"/>
  <c r="Q41" i="4"/>
  <c r="P41" i="4"/>
  <c r="S682" i="3"/>
  <c r="Q682" i="3"/>
  <c r="P682" i="3"/>
  <c r="I676" i="3"/>
  <c r="H676" i="3"/>
  <c r="D676" i="3"/>
  <c r="F676" i="3"/>
  <c r="E676" i="3"/>
  <c r="C676" i="3"/>
  <c r="AA70" i="4" l="1"/>
  <c r="K1075" i="3" s="1"/>
  <c r="AE27" i="4"/>
  <c r="AI85" i="4"/>
  <c r="AA27" i="4"/>
  <c r="AH85" i="4"/>
  <c r="K122" i="2"/>
  <c r="D942" i="3"/>
  <c r="L942" i="3" s="1"/>
  <c r="AH26" i="4"/>
  <c r="AH84" i="4" s="1"/>
  <c r="C940" i="3"/>
  <c r="K940" i="3" s="1"/>
  <c r="J676" i="3"/>
  <c r="J678" i="3" s="1"/>
  <c r="L684" i="3"/>
  <c r="H110" i="2"/>
  <c r="I109" i="2"/>
  <c r="J109" i="2" s="1"/>
  <c r="K107" i="2"/>
  <c r="J108" i="2"/>
  <c r="R680" i="3"/>
  <c r="Q683" i="3"/>
  <c r="G676" i="3"/>
  <c r="H678" i="3"/>
  <c r="I678" i="3"/>
  <c r="R682" i="3"/>
  <c r="R683" i="3" s="1"/>
  <c r="L676" i="3"/>
  <c r="L677" i="3" s="1"/>
  <c r="N682" i="3"/>
  <c r="N683" i="3" s="1"/>
  <c r="D677" i="3"/>
  <c r="H103" i="2"/>
  <c r="E677" i="3"/>
  <c r="J677" i="3"/>
  <c r="I677" i="3"/>
  <c r="F677" i="3"/>
  <c r="H677" i="3"/>
  <c r="H118" i="2"/>
  <c r="AA85" i="4" l="1"/>
  <c r="K1091" i="3" s="1"/>
  <c r="K1063" i="3"/>
  <c r="AE85" i="4"/>
  <c r="O1091" i="3" s="1"/>
  <c r="O1063" i="3"/>
  <c r="K124" i="2"/>
  <c r="AA26" i="4"/>
  <c r="L122" i="2"/>
  <c r="E942" i="3"/>
  <c r="M942" i="3" s="1"/>
  <c r="I102" i="2"/>
  <c r="K109" i="2"/>
  <c r="J102" i="2"/>
  <c r="J104" i="2" s="1"/>
  <c r="AI68" i="4" s="1"/>
  <c r="L107" i="2"/>
  <c r="K108" i="2"/>
  <c r="S680" i="3"/>
  <c r="P683" i="3"/>
  <c r="S683" i="3"/>
  <c r="M676" i="3"/>
  <c r="M677" i="3" s="1"/>
  <c r="F960" i="3" l="1"/>
  <c r="P960" i="3" s="1"/>
  <c r="K1062" i="3"/>
  <c r="AE68" i="4"/>
  <c r="O1073" i="3" s="1"/>
  <c r="AA84" i="4"/>
  <c r="K1090" i="3" s="1"/>
  <c r="I104" i="2"/>
  <c r="L124" i="2"/>
  <c r="D939" i="3"/>
  <c r="L939" i="3" s="1"/>
  <c r="AI24" i="4"/>
  <c r="AI82" i="4" s="1"/>
  <c r="I103" i="2"/>
  <c r="C939" i="3"/>
  <c r="K939" i="3" s="1"/>
  <c r="AH24" i="4"/>
  <c r="J103" i="2"/>
  <c r="J117" i="2" s="1"/>
  <c r="J119" i="2" s="1"/>
  <c r="AI70" i="4" s="1"/>
  <c r="L109" i="2"/>
  <c r="K102" i="2"/>
  <c r="M107" i="2"/>
  <c r="L108" i="2"/>
  <c r="N676" i="3"/>
  <c r="N678" i="3" s="1"/>
  <c r="O676" i="3"/>
  <c r="AE70" i="4" l="1"/>
  <c r="O1075" i="3" s="1"/>
  <c r="I133" i="2"/>
  <c r="I195" i="2" s="1"/>
  <c r="D19" i="7" s="1"/>
  <c r="AH68" i="4"/>
  <c r="AK68" i="4" s="1"/>
  <c r="AA24" i="4"/>
  <c r="AE24" i="4"/>
  <c r="O1060" i="3" s="1"/>
  <c r="E939" i="3"/>
  <c r="M939" i="3" s="1"/>
  <c r="K104" i="2"/>
  <c r="D940" i="3"/>
  <c r="L940" i="3" s="1"/>
  <c r="AI26" i="4"/>
  <c r="AE26" i="4" s="1"/>
  <c r="O1062" i="3" s="1"/>
  <c r="C7" i="11"/>
  <c r="F728" i="3"/>
  <c r="M122" i="2"/>
  <c r="K103" i="2"/>
  <c r="K118" i="2" s="1"/>
  <c r="K117" i="2" s="1"/>
  <c r="M109" i="2"/>
  <c r="L102" i="2"/>
  <c r="L104" i="2" s="1"/>
  <c r="N107" i="2"/>
  <c r="M108" i="2"/>
  <c r="AA44" i="4" l="1"/>
  <c r="BD44" i="4" s="1"/>
  <c r="K1060" i="3"/>
  <c r="I204" i="2"/>
  <c r="I210" i="2" s="1"/>
  <c r="D23" i="7" s="1"/>
  <c r="C1026" i="3"/>
  <c r="C1040" i="3" s="1"/>
  <c r="AE82" i="4"/>
  <c r="O1088" i="3" s="1"/>
  <c r="AE44" i="4"/>
  <c r="F959" i="3"/>
  <c r="P959" i="3" s="1"/>
  <c r="AH73" i="4"/>
  <c r="AK73" i="4" s="1"/>
  <c r="AA68" i="4"/>
  <c r="AH82" i="4"/>
  <c r="AI84" i="4"/>
  <c r="AE84" i="4"/>
  <c r="O1090" i="3" s="1"/>
  <c r="M124" i="2"/>
  <c r="E940" i="3"/>
  <c r="M940" i="3" s="1"/>
  <c r="K119" i="2"/>
  <c r="N122" i="2"/>
  <c r="L103" i="2"/>
  <c r="L118" i="2" s="1"/>
  <c r="L117" i="2" s="1"/>
  <c r="L119" i="2" s="1"/>
  <c r="N109" i="2"/>
  <c r="M102" i="2"/>
  <c r="M104" i="2" s="1"/>
  <c r="O107" i="2"/>
  <c r="O108" i="2" s="1"/>
  <c r="N108" i="2"/>
  <c r="P676" i="3"/>
  <c r="P678" i="3" s="1"/>
  <c r="BH44" i="4" l="1"/>
  <c r="K1073" i="3"/>
  <c r="AA82" i="4"/>
  <c r="K1088" i="3" s="1"/>
  <c r="C1030" i="3"/>
  <c r="C1043" i="3" s="1"/>
  <c r="AA73" i="4"/>
  <c r="K1078" i="3" s="1"/>
  <c r="AH79" i="4"/>
  <c r="N124" i="2"/>
  <c r="P677" i="3"/>
  <c r="G728" i="3"/>
  <c r="O122" i="2"/>
  <c r="M103" i="2"/>
  <c r="M118" i="2" s="1"/>
  <c r="M117" i="2" s="1"/>
  <c r="M119" i="2" s="1"/>
  <c r="O109" i="2"/>
  <c r="O102" i="2" s="1"/>
  <c r="O104" i="2" s="1"/>
  <c r="N102" i="2"/>
  <c r="N104" i="2" s="1"/>
  <c r="AA79" i="4" l="1"/>
  <c r="K1083" i="3" s="1"/>
  <c r="O124" i="2"/>
  <c r="P684" i="3"/>
  <c r="N103" i="2"/>
  <c r="N118" i="2" s="1"/>
  <c r="N117" i="2" s="1"/>
  <c r="N119" i="2" s="1"/>
  <c r="O103" i="2"/>
  <c r="O118" i="2" s="1"/>
  <c r="C706" i="3"/>
  <c r="BD79" i="4" l="1"/>
  <c r="K1084" i="3" s="1"/>
  <c r="N1052" i="3"/>
  <c r="C707" i="3"/>
  <c r="E707" i="3" s="1"/>
  <c r="O117" i="2"/>
  <c r="O119" i="2" s="1"/>
  <c r="H728" i="3"/>
  <c r="N1050" i="3" l="1"/>
  <c r="N1048" i="3" s="1"/>
  <c r="Q1053" i="3"/>
  <c r="N1055" i="3"/>
  <c r="F974" i="3"/>
  <c r="C708" i="3"/>
  <c r="E708" i="3" s="1"/>
  <c r="Y29" i="4"/>
  <c r="I1065" i="3" s="1"/>
  <c r="Q676" i="3"/>
  <c r="Q678" i="3" s="1"/>
  <c r="Q677" i="3"/>
  <c r="Q684" i="3"/>
  <c r="L653" i="3"/>
  <c r="L652" i="3"/>
  <c r="K652" i="3"/>
  <c r="J652" i="3"/>
  <c r="I652" i="3"/>
  <c r="H652" i="3"/>
  <c r="G652" i="3"/>
  <c r="F652" i="3"/>
  <c r="E652" i="3"/>
  <c r="D652" i="3"/>
  <c r="C652" i="3"/>
  <c r="K653" i="3"/>
  <c r="J653" i="3"/>
  <c r="I653" i="3"/>
  <c r="H653" i="3"/>
  <c r="G653" i="3"/>
  <c r="F653" i="3"/>
  <c r="E653" i="3"/>
  <c r="D653" i="3"/>
  <c r="C653" i="3"/>
  <c r="D601" i="3"/>
  <c r="E601" i="3" s="1"/>
  <c r="F601" i="3" s="1"/>
  <c r="G601" i="3" s="1"/>
  <c r="H601" i="3" s="1"/>
  <c r="I601" i="3" s="1"/>
  <c r="E573" i="3"/>
  <c r="E576" i="3" s="1"/>
  <c r="E578" i="3" s="1"/>
  <c r="J573" i="3"/>
  <c r="J576" i="3" s="1"/>
  <c r="J578" i="3" s="1"/>
  <c r="I573" i="3"/>
  <c r="I576" i="3" s="1"/>
  <c r="I578" i="3" s="1"/>
  <c r="H573" i="3"/>
  <c r="H575" i="3" s="1"/>
  <c r="G573" i="3"/>
  <c r="G576" i="3" s="1"/>
  <c r="G578" i="3" s="1"/>
  <c r="F573" i="3"/>
  <c r="F576" i="3" s="1"/>
  <c r="F578" i="3" s="1"/>
  <c r="Y35" i="4" l="1"/>
  <c r="Y87" i="4"/>
  <c r="I1093" i="3" s="1"/>
  <c r="F575" i="3"/>
  <c r="G575" i="3"/>
  <c r="H576" i="3"/>
  <c r="H578" i="3" s="1"/>
  <c r="E575" i="3"/>
  <c r="I575" i="3"/>
  <c r="J575" i="3"/>
  <c r="I1070" i="3" l="1"/>
  <c r="M7" i="9"/>
  <c r="N7" i="9" s="1"/>
  <c r="Y55" i="4"/>
  <c r="Y57" i="4" s="1"/>
  <c r="BF35" i="4"/>
  <c r="M1071" i="3" s="1"/>
  <c r="I728" i="3"/>
  <c r="L560" i="3"/>
  <c r="C558" i="3"/>
  <c r="I560" i="3"/>
  <c r="F560" i="3"/>
  <c r="E560" i="3"/>
  <c r="J560" i="3"/>
  <c r="I561" i="3"/>
  <c r="H561" i="3"/>
  <c r="G561" i="3"/>
  <c r="F561" i="3"/>
  <c r="E561" i="3"/>
  <c r="D561" i="3"/>
  <c r="J561" i="3"/>
  <c r="I558" i="3"/>
  <c r="H558" i="3"/>
  <c r="G558" i="3"/>
  <c r="F558" i="3"/>
  <c r="E558" i="3"/>
  <c r="D558" i="3"/>
  <c r="J558" i="3"/>
  <c r="D557" i="3"/>
  <c r="E557" i="3"/>
  <c r="F557" i="3"/>
  <c r="I557" i="3"/>
  <c r="H557" i="3"/>
  <c r="G557" i="3"/>
  <c r="J557" i="3"/>
  <c r="D560" i="3"/>
  <c r="D562" i="3" s="1"/>
  <c r="H560" i="3"/>
  <c r="L24" i="11"/>
  <c r="G46" i="2"/>
  <c r="F46" i="2"/>
  <c r="E46" i="2"/>
  <c r="D46" i="2"/>
  <c r="M16" i="9" l="1"/>
  <c r="N16" i="9" s="1"/>
  <c r="M14" i="9"/>
  <c r="N14" i="9" s="1"/>
  <c r="M18" i="9"/>
  <c r="Y56" i="4"/>
  <c r="Z29" i="4"/>
  <c r="J1065" i="3" s="1"/>
  <c r="R676" i="3"/>
  <c r="R678" i="3" s="1"/>
  <c r="R677" i="3"/>
  <c r="D565" i="3"/>
  <c r="R684" i="3"/>
  <c r="H562" i="3"/>
  <c r="H565" i="3" s="1"/>
  <c r="F562" i="3"/>
  <c r="F565" i="3" s="1"/>
  <c r="E562" i="3"/>
  <c r="E565" i="3" s="1"/>
  <c r="G560" i="3"/>
  <c r="G562" i="3" s="1"/>
  <c r="I562" i="3"/>
  <c r="I565" i="3" s="1"/>
  <c r="L561" i="3"/>
  <c r="J562" i="3"/>
  <c r="Z35" i="4" l="1"/>
  <c r="J1070" i="3" s="1"/>
  <c r="Z87" i="4"/>
  <c r="J1093" i="3" s="1"/>
  <c r="G565" i="3"/>
  <c r="J565" i="3"/>
  <c r="U83" i="9"/>
  <c r="U103" i="9" s="1"/>
  <c r="AY124" i="4"/>
  <c r="AY100" i="4"/>
  <c r="AY99" i="4"/>
  <c r="AY79" i="4"/>
  <c r="AY35" i="4"/>
  <c r="F1071" i="3" s="1"/>
  <c r="AY3" i="4"/>
  <c r="AY2" i="4"/>
  <c r="K870" i="3" s="1"/>
  <c r="K249" i="9"/>
  <c r="K248" i="9"/>
  <c r="K247" i="9"/>
  <c r="K246" i="9"/>
  <c r="K245" i="9"/>
  <c r="K244" i="9"/>
  <c r="K243" i="9"/>
  <c r="I20" i="9"/>
  <c r="I17" i="9"/>
  <c r="K37" i="9" s="1"/>
  <c r="I7" i="9"/>
  <c r="I5" i="9"/>
  <c r="U139" i="4"/>
  <c r="U140" i="4" s="1"/>
  <c r="U143" i="4" s="1"/>
  <c r="U109" i="4"/>
  <c r="U118" i="4"/>
  <c r="U119" i="4" s="1"/>
  <c r="U127" i="4"/>
  <c r="U125" i="4"/>
  <c r="I21" i="9" s="1"/>
  <c r="U121" i="4"/>
  <c r="U122" i="4" s="1"/>
  <c r="U99" i="4"/>
  <c r="U97" i="4"/>
  <c r="U95" i="4"/>
  <c r="U36" i="4"/>
  <c r="U93" i="4"/>
  <c r="F1098" i="3" s="1"/>
  <c r="U55" i="4"/>
  <c r="U7" i="4"/>
  <c r="U8" i="4" s="1"/>
  <c r="U85" i="9" s="1"/>
  <c r="U13" i="4"/>
  <c r="U14" i="4" s="1"/>
  <c r="U105" i="9" s="1"/>
  <c r="U1" i="4"/>
  <c r="U38" i="4"/>
  <c r="U53" i="4"/>
  <c r="U50" i="4"/>
  <c r="U46" i="4"/>
  <c r="U44" i="4"/>
  <c r="BC44" i="4" s="1"/>
  <c r="U29" i="4"/>
  <c r="F1065" i="3" s="1"/>
  <c r="F4" i="11"/>
  <c r="E4" i="11"/>
  <c r="D4" i="11"/>
  <c r="D706" i="3" l="1"/>
  <c r="F1085" i="3"/>
  <c r="K871" i="3"/>
  <c r="F1084" i="3"/>
  <c r="Z55" i="4"/>
  <c r="Z56" i="4" s="1"/>
  <c r="BC35" i="4"/>
  <c r="J1071" i="3" s="1"/>
  <c r="BG35" i="4"/>
  <c r="N1071" i="3" s="1"/>
  <c r="Z57" i="4"/>
  <c r="U161" i="4"/>
  <c r="U157" i="4" s="1"/>
  <c r="U158" i="4" s="1"/>
  <c r="U87" i="4"/>
  <c r="F1093" i="3" s="1"/>
  <c r="K36" i="9"/>
  <c r="L38" i="9"/>
  <c r="V59" i="4"/>
  <c r="W59" i="4" s="1"/>
  <c r="V98" i="4"/>
  <c r="O37" i="9"/>
  <c r="I14" i="9"/>
  <c r="G37" i="9"/>
  <c r="U47" i="4"/>
  <c r="V36" i="4"/>
  <c r="W36" i="4" s="1"/>
  <c r="I6" i="9"/>
  <c r="D705" i="3"/>
  <c r="U52" i="4"/>
  <c r="U129" i="4"/>
  <c r="U144" i="4"/>
  <c r="AY144" i="4" s="1"/>
  <c r="U100" i="4"/>
  <c r="U57" i="4"/>
  <c r="U61" i="4"/>
  <c r="U84" i="9"/>
  <c r="I16" i="9"/>
  <c r="U104" i="9"/>
  <c r="U51" i="4"/>
  <c r="I18" i="9"/>
  <c r="I19" i="9"/>
  <c r="U56" i="4"/>
  <c r="U162" i="4" l="1"/>
  <c r="U34" i="4" s="1"/>
  <c r="V61" i="4"/>
  <c r="U92" i="4"/>
  <c r="F1097" i="3" s="1"/>
  <c r="V63" i="4"/>
  <c r="V65" i="4" s="1"/>
  <c r="G36" i="9"/>
  <c r="O36" i="9" s="1"/>
  <c r="H38" i="9"/>
  <c r="W63" i="4"/>
  <c r="W61" i="4"/>
  <c r="AA61" i="4" s="1"/>
  <c r="W60" i="4"/>
  <c r="W47" i="4"/>
  <c r="V60" i="4"/>
  <c r="V47" i="4"/>
  <c r="I25" i="9"/>
  <c r="C832" i="3"/>
  <c r="S677" i="3"/>
  <c r="J728" i="3"/>
  <c r="S676" i="3"/>
  <c r="S678" i="3" s="1"/>
  <c r="I22" i="9"/>
  <c r="U147" i="4"/>
  <c r="U148" i="4" s="1"/>
  <c r="U145" i="4"/>
  <c r="I23" i="9" s="1"/>
  <c r="U60" i="4"/>
  <c r="U63" i="4"/>
  <c r="E1092" i="1"/>
  <c r="F1092" i="1"/>
  <c r="E1075" i="1"/>
  <c r="E1082" i="1"/>
  <c r="G1082" i="1" s="1"/>
  <c r="F1085" i="1"/>
  <c r="B1085" i="1"/>
  <c r="F1076" i="1"/>
  <c r="F1078" i="1" s="1"/>
  <c r="F1079" i="1" s="1"/>
  <c r="E1073" i="1"/>
  <c r="G1072" i="1"/>
  <c r="D1067" i="1"/>
  <c r="U33" i="4" l="1"/>
  <c r="F1068" i="3" s="1"/>
  <c r="F1069" i="3"/>
  <c r="V150" i="4"/>
  <c r="L894" i="3"/>
  <c r="K250" i="9"/>
  <c r="K251" i="9" s="1"/>
  <c r="U91" i="4"/>
  <c r="F1096" i="3" s="1"/>
  <c r="W150" i="4"/>
  <c r="W65" i="4"/>
  <c r="J564" i="3"/>
  <c r="C814" i="3"/>
  <c r="S684" i="3"/>
  <c r="T676" i="3"/>
  <c r="I24" i="9"/>
  <c r="U150" i="4"/>
  <c r="U65" i="4"/>
  <c r="F1088" i="1"/>
  <c r="E1076" i="1"/>
  <c r="E1078" i="1" s="1"/>
  <c r="G1078" i="1" s="1"/>
  <c r="G1075" i="1"/>
  <c r="E1085" i="1"/>
  <c r="K259" i="9" l="1"/>
  <c r="K256" i="9"/>
  <c r="K258" i="9"/>
  <c r="K255" i="9"/>
  <c r="K257" i="9"/>
  <c r="K260" i="9"/>
  <c r="K253" i="9"/>
  <c r="K254" i="9"/>
  <c r="C815" i="3"/>
  <c r="E815" i="3" s="1"/>
  <c r="E814" i="3"/>
  <c r="T684" i="3"/>
  <c r="G1076" i="1"/>
  <c r="D537" i="3"/>
  <c r="E537" i="3" s="1"/>
  <c r="F537" i="3" s="1"/>
  <c r="G537" i="3" s="1"/>
  <c r="O6" i="9" l="1"/>
  <c r="O21" i="9"/>
  <c r="AI25" i="4" l="1"/>
  <c r="J114" i="2"/>
  <c r="K112" i="2"/>
  <c r="D941" i="3"/>
  <c r="L941" i="3" s="1"/>
  <c r="R95" i="4"/>
  <c r="K25" i="11"/>
  <c r="J25" i="11"/>
  <c r="I25" i="11"/>
  <c r="G539" i="3"/>
  <c r="J26" i="11"/>
  <c r="F539" i="3" s="1"/>
  <c r="E539" i="3"/>
  <c r="L20" i="11"/>
  <c r="L19" i="11"/>
  <c r="K23" i="11"/>
  <c r="B35" i="11"/>
  <c r="B34" i="11"/>
  <c r="B33" i="11"/>
  <c r="B32" i="11"/>
  <c r="B31" i="11"/>
  <c r="B30" i="11"/>
  <c r="J23" i="11"/>
  <c r="I23" i="11"/>
  <c r="J133" i="2" l="1"/>
  <c r="J195" i="2" s="1"/>
  <c r="E19" i="7" s="1"/>
  <c r="AI69" i="4"/>
  <c r="AI83" i="4" s="1"/>
  <c r="AE25" i="4"/>
  <c r="O1061" i="3" s="1"/>
  <c r="AI29" i="4"/>
  <c r="K114" i="2"/>
  <c r="K133" i="2" s="1"/>
  <c r="L112" i="2"/>
  <c r="E941" i="3"/>
  <c r="M941" i="3" s="1"/>
  <c r="BD99" i="4"/>
  <c r="BC99" i="4"/>
  <c r="BB99" i="4"/>
  <c r="AX124" i="4"/>
  <c r="AW124" i="4"/>
  <c r="AX144" i="4"/>
  <c r="AW144" i="4"/>
  <c r="D1026" i="3" l="1"/>
  <c r="D1040" i="3" s="1"/>
  <c r="J204" i="2"/>
  <c r="J210" i="2" s="1"/>
  <c r="E23" i="7" s="1"/>
  <c r="AE69" i="4"/>
  <c r="AI73" i="4"/>
  <c r="AI87" i="4" s="1"/>
  <c r="AI35" i="4"/>
  <c r="AE29" i="4"/>
  <c r="O1065" i="3" s="1"/>
  <c r="M112" i="2"/>
  <c r="L114" i="2"/>
  <c r="L133" i="2" s="1"/>
  <c r="BD2" i="4"/>
  <c r="P870" i="3" s="1"/>
  <c r="BC2" i="4"/>
  <c r="O870" i="3" s="1"/>
  <c r="BB2" i="4"/>
  <c r="N870" i="3" s="1"/>
  <c r="M870" i="3"/>
  <c r="C962" i="1"/>
  <c r="D962" i="1" s="1"/>
  <c r="AE83" i="4" l="1"/>
  <c r="O1089" i="3" s="1"/>
  <c r="O1074" i="3"/>
  <c r="AE73" i="4"/>
  <c r="AI79" i="4"/>
  <c r="N112" i="2"/>
  <c r="M114" i="2"/>
  <c r="T232" i="4"/>
  <c r="T231" i="4"/>
  <c r="T230" i="4"/>
  <c r="T226" i="4"/>
  <c r="T227" i="4" s="1"/>
  <c r="T220" i="4"/>
  <c r="T222" i="4" s="1"/>
  <c r="T211" i="4"/>
  <c r="T206" i="4"/>
  <c r="T194" i="4"/>
  <c r="T187" i="4"/>
  <c r="G299" i="2"/>
  <c r="G297" i="2"/>
  <c r="T118" i="4"/>
  <c r="T119" i="4" s="1"/>
  <c r="T47" i="4"/>
  <c r="S36" i="4"/>
  <c r="Z1" i="4"/>
  <c r="AE79" i="4" l="1"/>
  <c r="Z1052" i="3" s="1"/>
  <c r="O1078" i="3"/>
  <c r="AI93" i="4"/>
  <c r="AI80" i="4"/>
  <c r="AE87" i="4"/>
  <c r="O1093" i="3" s="1"/>
  <c r="O112" i="2"/>
  <c r="N114" i="2"/>
  <c r="C951" i="3"/>
  <c r="M951" i="3" s="1"/>
  <c r="H967" i="3"/>
  <c r="D5" i="11"/>
  <c r="G730" i="3"/>
  <c r="I967" i="3"/>
  <c r="T212" i="4"/>
  <c r="T195" i="4"/>
  <c r="C962" i="3"/>
  <c r="T44" i="4"/>
  <c r="S44" i="4"/>
  <c r="BA44" i="4" s="1"/>
  <c r="R44" i="4"/>
  <c r="Q44" i="4"/>
  <c r="AY44" i="4" s="1"/>
  <c r="P44" i="4"/>
  <c r="O44" i="4"/>
  <c r="N44" i="4"/>
  <c r="M44" i="4"/>
  <c r="L44" i="4"/>
  <c r="K44" i="4"/>
  <c r="AX100" i="4"/>
  <c r="AX99" i="4"/>
  <c r="T53" i="4"/>
  <c r="T50" i="4"/>
  <c r="T83" i="9"/>
  <c r="T103" i="9" s="1"/>
  <c r="AX79" i="4"/>
  <c r="E1084" i="3" s="1"/>
  <c r="AX35" i="4"/>
  <c r="E1071" i="3" s="1"/>
  <c r="AX3" i="4"/>
  <c r="AX2" i="4"/>
  <c r="J870" i="3" s="1"/>
  <c r="H250" i="9"/>
  <c r="G250" i="9"/>
  <c r="F250" i="9"/>
  <c r="J249" i="9"/>
  <c r="J248" i="9"/>
  <c r="J247" i="9"/>
  <c r="J246" i="9"/>
  <c r="J245" i="9"/>
  <c r="J244" i="9"/>
  <c r="J243" i="9"/>
  <c r="T147" i="4"/>
  <c r="T148" i="4" s="1"/>
  <c r="H22" i="9"/>
  <c r="H20" i="9"/>
  <c r="H17" i="9"/>
  <c r="H7" i="9"/>
  <c r="H14" i="9" s="1"/>
  <c r="H5" i="9"/>
  <c r="T38" i="4"/>
  <c r="T145" i="4"/>
  <c r="H23" i="9" s="1"/>
  <c r="T139" i="4"/>
  <c r="T140" i="4" s="1"/>
  <c r="T109" i="4"/>
  <c r="T127" i="4"/>
  <c r="T125" i="4"/>
  <c r="H21" i="9" s="1"/>
  <c r="T121" i="4"/>
  <c r="T122" i="4" s="1"/>
  <c r="T99" i="4"/>
  <c r="T97" i="4"/>
  <c r="T95" i="4"/>
  <c r="E1085" i="3" s="1"/>
  <c r="T46" i="4"/>
  <c r="H6" i="9" s="1"/>
  <c r="T29" i="4"/>
  <c r="E1065" i="3" s="1"/>
  <c r="T13" i="4"/>
  <c r="T14" i="4" s="1"/>
  <c r="T105" i="9" s="1"/>
  <c r="T7" i="4"/>
  <c r="T8" i="4" s="1"/>
  <c r="T85" i="9" s="1"/>
  <c r="T55" i="4"/>
  <c r="T93" i="4"/>
  <c r="E1098" i="3" s="1"/>
  <c r="T1" i="4"/>
  <c r="S127" i="4"/>
  <c r="R127" i="4"/>
  <c r="Q127" i="4"/>
  <c r="P127" i="4"/>
  <c r="O127" i="4"/>
  <c r="N127" i="4"/>
  <c r="M127" i="4"/>
  <c r="L127" i="4"/>
  <c r="K127" i="4"/>
  <c r="I127" i="4"/>
  <c r="H127" i="4"/>
  <c r="G127" i="4"/>
  <c r="C713" i="3"/>
  <c r="B516" i="3"/>
  <c r="B520" i="3" s="1"/>
  <c r="B515" i="3"/>
  <c r="B519" i="3" s="1"/>
  <c r="B508" i="3"/>
  <c r="B507" i="3"/>
  <c r="D506" i="3"/>
  <c r="B524" i="3"/>
  <c r="B528" i="3" s="1"/>
  <c r="B532" i="3" s="1"/>
  <c r="B523" i="3"/>
  <c r="B527" i="3" s="1"/>
  <c r="B531" i="3" s="1"/>
  <c r="D522" i="3"/>
  <c r="D511" i="3"/>
  <c r="D510" i="3"/>
  <c r="D505" i="3"/>
  <c r="M908" i="1"/>
  <c r="M911" i="1" s="1"/>
  <c r="L902" i="1"/>
  <c r="M902" i="1" s="1"/>
  <c r="L903" i="1"/>
  <c r="L908" i="1" s="1"/>
  <c r="J906" i="1"/>
  <c r="I906" i="1"/>
  <c r="J904" i="1"/>
  <c r="J911" i="1"/>
  <c r="J909" i="1"/>
  <c r="I911" i="1"/>
  <c r="I904" i="1"/>
  <c r="I909" i="1"/>
  <c r="B269" i="9"/>
  <c r="B268" i="9"/>
  <c r="B260" i="9"/>
  <c r="B259" i="9"/>
  <c r="B258" i="9"/>
  <c r="I249" i="9"/>
  <c r="E249" i="9"/>
  <c r="I248" i="9"/>
  <c r="H248" i="9"/>
  <c r="G248" i="9"/>
  <c r="F248" i="9"/>
  <c r="E248" i="9"/>
  <c r="D248" i="9"/>
  <c r="I247" i="9"/>
  <c r="H247" i="9"/>
  <c r="G247" i="9"/>
  <c r="F247" i="9"/>
  <c r="E247" i="9"/>
  <c r="D247" i="9"/>
  <c r="I246" i="9"/>
  <c r="H246" i="9"/>
  <c r="G246" i="9"/>
  <c r="F246" i="9"/>
  <c r="E246" i="9"/>
  <c r="D246" i="9"/>
  <c r="I245" i="9"/>
  <c r="H245" i="9"/>
  <c r="G245" i="9"/>
  <c r="F245" i="9"/>
  <c r="E245" i="9"/>
  <c r="D245" i="9"/>
  <c r="I244" i="9"/>
  <c r="H244" i="9"/>
  <c r="G244" i="9"/>
  <c r="F244" i="9"/>
  <c r="E244" i="9"/>
  <c r="D244" i="9"/>
  <c r="I243" i="9"/>
  <c r="H243" i="9"/>
  <c r="G243" i="9"/>
  <c r="F243" i="9"/>
  <c r="E243" i="9"/>
  <c r="D243" i="9"/>
  <c r="C248" i="9"/>
  <c r="C247" i="9"/>
  <c r="C246" i="9"/>
  <c r="C245" i="9"/>
  <c r="C243" i="9"/>
  <c r="C244" i="9"/>
  <c r="B248" i="9"/>
  <c r="B257" i="9" s="1"/>
  <c r="B247" i="9"/>
  <c r="B256" i="9" s="1"/>
  <c r="B246" i="9"/>
  <c r="B255" i="9" s="1"/>
  <c r="B245" i="9"/>
  <c r="B254" i="9" s="1"/>
  <c r="B244" i="9"/>
  <c r="B253" i="9" s="1"/>
  <c r="AW100" i="4"/>
  <c r="AW99" i="4"/>
  <c r="S83" i="9"/>
  <c r="S103" i="9" s="1"/>
  <c r="G22" i="9"/>
  <c r="G20" i="9"/>
  <c r="G17" i="9"/>
  <c r="G7" i="9"/>
  <c r="G14" i="9" s="1"/>
  <c r="G5" i="9"/>
  <c r="S118" i="4"/>
  <c r="S119" i="4" s="1"/>
  <c r="S139" i="4"/>
  <c r="S109" i="4"/>
  <c r="S121" i="4"/>
  <c r="S99" i="4"/>
  <c r="S97" i="4"/>
  <c r="S38" i="4"/>
  <c r="S1" i="4"/>
  <c r="S53" i="4"/>
  <c r="S50" i="4"/>
  <c r="H179" i="2" s="1"/>
  <c r="H178" i="2" s="1"/>
  <c r="J24" i="7" s="1"/>
  <c r="S55" i="4"/>
  <c r="BA55" i="4" s="1"/>
  <c r="AW79" i="4"/>
  <c r="D1084" i="3" s="1"/>
  <c r="AW35" i="4"/>
  <c r="D1071" i="3" s="1"/>
  <c r="AW3" i="4"/>
  <c r="AW2" i="4"/>
  <c r="I870" i="3" s="1"/>
  <c r="S187" i="4"/>
  <c r="S47" i="4"/>
  <c r="S46" i="4"/>
  <c r="D51" i="11"/>
  <c r="D49" i="11"/>
  <c r="D48" i="11"/>
  <c r="D47" i="11"/>
  <c r="S29" i="4"/>
  <c r="D1065" i="3" s="1"/>
  <c r="S13" i="4"/>
  <c r="S14" i="4" s="1"/>
  <c r="S105" i="9" s="1"/>
  <c r="S7" i="4"/>
  <c r="S8" i="4" s="1"/>
  <c r="S85" i="9" s="1"/>
  <c r="S145" i="4"/>
  <c r="G23" i="9" s="1"/>
  <c r="S125" i="4"/>
  <c r="G21" i="9" s="1"/>
  <c r="S93" i="4"/>
  <c r="D1098" i="3" s="1"/>
  <c r="S95" i="4"/>
  <c r="D712" i="3" l="1"/>
  <c r="D1085" i="3"/>
  <c r="Z1055" i="3"/>
  <c r="Z1056" i="3" s="1"/>
  <c r="Z1054" i="3"/>
  <c r="S122" i="4"/>
  <c r="BH79" i="4"/>
  <c r="O1084" i="3" s="1"/>
  <c r="O1083" i="3"/>
  <c r="T161" i="4"/>
  <c r="T157" i="4" s="1"/>
  <c r="T158" i="4" s="1"/>
  <c r="T87" i="4"/>
  <c r="E1093" i="3" s="1"/>
  <c r="S161" i="4"/>
  <c r="S87" i="4"/>
  <c r="D1093" i="3" s="1"/>
  <c r="O114" i="2"/>
  <c r="U98" i="4"/>
  <c r="H968" i="3"/>
  <c r="H976" i="3" s="1"/>
  <c r="BB35" i="4"/>
  <c r="I1071" i="3" s="1"/>
  <c r="M962" i="3"/>
  <c r="C963" i="3"/>
  <c r="M963" i="3" s="1"/>
  <c r="C952" i="3"/>
  <c r="M952" i="3" s="1"/>
  <c r="E5" i="11"/>
  <c r="D951" i="3"/>
  <c r="AV44" i="4"/>
  <c r="AZ44" i="4"/>
  <c r="AW44" i="4"/>
  <c r="BB44" i="4"/>
  <c r="AX44" i="4"/>
  <c r="Y46" i="4"/>
  <c r="M6" i="9" s="1"/>
  <c r="D962" i="3"/>
  <c r="J871" i="3"/>
  <c r="Y36" i="4"/>
  <c r="Y59" i="4" s="1"/>
  <c r="Y63" i="4" s="1"/>
  <c r="G729" i="3"/>
  <c r="G731" i="3"/>
  <c r="I871" i="3"/>
  <c r="H730" i="3"/>
  <c r="G6" i="9"/>
  <c r="D711" i="3"/>
  <c r="E713" i="3"/>
  <c r="C715" i="3"/>
  <c r="C714" i="3" s="1"/>
  <c r="E714" i="3" s="1"/>
  <c r="T52" i="4"/>
  <c r="T129" i="4"/>
  <c r="H25" i="9" s="1"/>
  <c r="D11" i="11"/>
  <c r="C953" i="3"/>
  <c r="M871" i="3"/>
  <c r="S57" i="4"/>
  <c r="S140" i="4"/>
  <c r="S143" i="4" s="1"/>
  <c r="T143" i="4"/>
  <c r="T229" i="4"/>
  <c r="T234" i="4" s="1"/>
  <c r="S147" i="4"/>
  <c r="S148" i="4" s="1"/>
  <c r="T57" i="4"/>
  <c r="T51" i="4"/>
  <c r="T56" i="4"/>
  <c r="T84" i="9"/>
  <c r="T98" i="4"/>
  <c r="T104" i="9"/>
  <c r="T59" i="4"/>
  <c r="H16" i="9"/>
  <c r="T100" i="4"/>
  <c r="H24" i="9"/>
  <c r="H18" i="9"/>
  <c r="H19" i="9"/>
  <c r="S129" i="4"/>
  <c r="G25" i="9" s="1"/>
  <c r="S59" i="4"/>
  <c r="S100" i="4"/>
  <c r="B267" i="9"/>
  <c r="B266" i="9"/>
  <c r="D512" i="3"/>
  <c r="D524" i="3" s="1"/>
  <c r="D523" i="3" s="1"/>
  <c r="D527" i="3" s="1"/>
  <c r="S52" i="4"/>
  <c r="S84" i="9"/>
  <c r="D518" i="3"/>
  <c r="D50" i="11"/>
  <c r="S104" i="9"/>
  <c r="B264" i="9"/>
  <c r="B265" i="9"/>
  <c r="E511" i="3"/>
  <c r="D530" i="3"/>
  <c r="D531" i="3" s="1"/>
  <c r="D532" i="3" s="1"/>
  <c r="D514" i="3"/>
  <c r="D526" i="3"/>
  <c r="M909" i="1"/>
  <c r="M904" i="1"/>
  <c r="L904" i="1"/>
  <c r="L906" i="1"/>
  <c r="L909" i="1"/>
  <c r="B263" i="9"/>
  <c r="G18" i="9"/>
  <c r="G16" i="9"/>
  <c r="G19" i="9"/>
  <c r="S51" i="4"/>
  <c r="S56" i="4"/>
  <c r="S162" i="4"/>
  <c r="S157" i="4"/>
  <c r="S158" i="4" s="1"/>
  <c r="G189" i="2"/>
  <c r="F189" i="2"/>
  <c r="G184" i="2"/>
  <c r="F2" i="2"/>
  <c r="F263" i="2" s="1"/>
  <c r="F48" i="2"/>
  <c r="F45" i="2" s="1"/>
  <c r="F52" i="2"/>
  <c r="F56" i="2"/>
  <c r="F67" i="2"/>
  <c r="F70" i="2" s="1"/>
  <c r="F73" i="2"/>
  <c r="F87" i="2"/>
  <c r="F91" i="2"/>
  <c r="F95" i="2"/>
  <c r="F88" i="2" s="1"/>
  <c r="F191" i="2"/>
  <c r="F195" i="2"/>
  <c r="F198" i="2" s="1"/>
  <c r="F211" i="2"/>
  <c r="F221" i="2"/>
  <c r="F224" i="2"/>
  <c r="F227" i="2"/>
  <c r="F230" i="2" s="1"/>
  <c r="F241" i="2"/>
  <c r="F251" i="2" s="1"/>
  <c r="F248" i="2"/>
  <c r="F261" i="2" s="1"/>
  <c r="F280" i="2" s="1"/>
  <c r="F253" i="2"/>
  <c r="F254" i="2" s="1"/>
  <c r="F260" i="2"/>
  <c r="F265" i="2"/>
  <c r="F271" i="2"/>
  <c r="F273" i="2"/>
  <c r="F274" i="2"/>
  <c r="F288" i="2"/>
  <c r="F289" i="2"/>
  <c r="F294" i="2"/>
  <c r="F297" i="2"/>
  <c r="F299" i="2"/>
  <c r="F306" i="2"/>
  <c r="F309" i="2"/>
  <c r="G95" i="2"/>
  <c r="R38" i="4"/>
  <c r="Q38" i="4"/>
  <c r="P38" i="4"/>
  <c r="O38" i="4"/>
  <c r="N38" i="4"/>
  <c r="M38" i="4"/>
  <c r="L38" i="4"/>
  <c r="K38" i="4"/>
  <c r="J38" i="4"/>
  <c r="I38" i="4"/>
  <c r="H38" i="4"/>
  <c r="G38" i="4"/>
  <c r="F38" i="4"/>
  <c r="E38" i="4"/>
  <c r="D38" i="4"/>
  <c r="T162" i="4" l="1"/>
  <c r="T34" i="4" s="1"/>
  <c r="E1069" i="3" s="1"/>
  <c r="H969" i="3"/>
  <c r="C954" i="3"/>
  <c r="C955" i="3" s="1"/>
  <c r="S34" i="4"/>
  <c r="D1069" i="3" s="1"/>
  <c r="N962" i="3"/>
  <c r="D963" i="3"/>
  <c r="N963" i="3" s="1"/>
  <c r="N951" i="3"/>
  <c r="Y65" i="4"/>
  <c r="Y150" i="4"/>
  <c r="H731" i="3"/>
  <c r="H729" i="3"/>
  <c r="F94" i="2"/>
  <c r="F307" i="2"/>
  <c r="F55" i="2"/>
  <c r="F57" i="2" s="1"/>
  <c r="F275" i="2"/>
  <c r="F92" i="2"/>
  <c r="F208" i="2"/>
  <c r="F187" i="2"/>
  <c r="D12" i="11"/>
  <c r="D13" i="11" s="1"/>
  <c r="F197" i="2"/>
  <c r="F225" i="2"/>
  <c r="F268" i="2"/>
  <c r="G24" i="9"/>
  <c r="S60" i="4"/>
  <c r="T63" i="4"/>
  <c r="T60" i="4"/>
  <c r="S63" i="4"/>
  <c r="BA63" i="4" s="1"/>
  <c r="E512" i="3"/>
  <c r="E523" i="3"/>
  <c r="D519" i="3"/>
  <c r="E524" i="3"/>
  <c r="D520" i="3"/>
  <c r="D508" i="3"/>
  <c r="E508" i="3" s="1"/>
  <c r="D507" i="3"/>
  <c r="E507" i="3" s="1"/>
  <c r="F232" i="2"/>
  <c r="F234" i="2"/>
  <c r="F51" i="2"/>
  <c r="F270" i="2"/>
  <c r="F281" i="2" s="1"/>
  <c r="F204" i="2"/>
  <c r="F205" i="2" s="1"/>
  <c r="F74" i="2"/>
  <c r="F49" i="2"/>
  <c r="S33" i="4" l="1"/>
  <c r="S92" i="4"/>
  <c r="D1097" i="3" s="1"/>
  <c r="T33" i="4"/>
  <c r="E1068" i="3" s="1"/>
  <c r="T92" i="4"/>
  <c r="E1097" i="3" s="1"/>
  <c r="M954" i="3"/>
  <c r="D952" i="3"/>
  <c r="N952" i="3" s="1"/>
  <c r="I968" i="3"/>
  <c r="K894" i="3"/>
  <c r="K896" i="3" s="1"/>
  <c r="Y93" i="4"/>
  <c r="I1098" i="3" s="1"/>
  <c r="BB124" i="4"/>
  <c r="Y95" i="4"/>
  <c r="F59" i="2"/>
  <c r="F60" i="2" s="1"/>
  <c r="BB79" i="4"/>
  <c r="E11" i="11"/>
  <c r="F283" i="2"/>
  <c r="F240" i="2"/>
  <c r="I564" i="3"/>
  <c r="H564" i="3"/>
  <c r="F203" i="2"/>
  <c r="F207" i="2"/>
  <c r="S150" i="4"/>
  <c r="T65" i="4"/>
  <c r="T150" i="4"/>
  <c r="BB63" i="4"/>
  <c r="S65" i="4"/>
  <c r="D515" i="3"/>
  <c r="I250" i="9"/>
  <c r="D516" i="3"/>
  <c r="F235" i="2"/>
  <c r="F236" i="2"/>
  <c r="F237" i="2"/>
  <c r="F238" i="2" s="1"/>
  <c r="F53" i="2"/>
  <c r="K493" i="3"/>
  <c r="J493" i="3"/>
  <c r="I493" i="3"/>
  <c r="H493" i="3"/>
  <c r="G493" i="3"/>
  <c r="F493" i="3"/>
  <c r="E493" i="3"/>
  <c r="D493" i="3"/>
  <c r="K497" i="3"/>
  <c r="J497" i="3"/>
  <c r="I497" i="3"/>
  <c r="H497" i="3"/>
  <c r="G497" i="3"/>
  <c r="F497" i="3"/>
  <c r="E497" i="3"/>
  <c r="D497" i="3"/>
  <c r="K498" i="3"/>
  <c r="J498" i="3"/>
  <c r="J494" i="3" s="1"/>
  <c r="I498" i="3"/>
  <c r="I494" i="3" s="1"/>
  <c r="H498" i="3"/>
  <c r="H494" i="3" s="1"/>
  <c r="G498" i="3"/>
  <c r="G494" i="3" s="1"/>
  <c r="F498" i="3"/>
  <c r="F494" i="3" s="1"/>
  <c r="E498" i="3"/>
  <c r="E494" i="3" s="1"/>
  <c r="D498" i="3"/>
  <c r="D494" i="3" s="1"/>
  <c r="B499" i="3"/>
  <c r="B503" i="3" s="1"/>
  <c r="B498" i="3"/>
  <c r="B502" i="3" s="1"/>
  <c r="K492" i="3"/>
  <c r="J492" i="3"/>
  <c r="I492" i="3"/>
  <c r="H492" i="3"/>
  <c r="G492" i="3"/>
  <c r="F492" i="3"/>
  <c r="E492" i="3"/>
  <c r="D492" i="3"/>
  <c r="N871" i="3" l="1"/>
  <c r="I1084" i="3"/>
  <c r="D953" i="3"/>
  <c r="I1085" i="3"/>
  <c r="S91" i="4"/>
  <c r="D1096" i="3" s="1"/>
  <c r="D1068" i="3"/>
  <c r="J250" i="9"/>
  <c r="T91" i="4"/>
  <c r="E1096" i="3" s="1"/>
  <c r="C956" i="3"/>
  <c r="M956" i="3" s="1"/>
  <c r="I976" i="3"/>
  <c r="I969" i="3"/>
  <c r="Y127" i="4"/>
  <c r="Y129" i="4" s="1"/>
  <c r="M25" i="9" s="1"/>
  <c r="Y125" i="4"/>
  <c r="M21" i="9" s="1"/>
  <c r="Y108" i="4"/>
  <c r="E12" i="11"/>
  <c r="E13" i="11" s="1"/>
  <c r="D954" i="3"/>
  <c r="E501" i="3"/>
  <c r="J501" i="3"/>
  <c r="D14" i="11"/>
  <c r="G501" i="3"/>
  <c r="F501" i="3"/>
  <c r="I251" i="9"/>
  <c r="I495" i="3"/>
  <c r="I501" i="3"/>
  <c r="H501" i="3"/>
  <c r="K494" i="3"/>
  <c r="K495" i="3" s="1"/>
  <c r="K499" i="3"/>
  <c r="D501" i="3"/>
  <c r="J495" i="3"/>
  <c r="F495" i="3"/>
  <c r="G495" i="3"/>
  <c r="E495" i="3"/>
  <c r="H495" i="3"/>
  <c r="D495" i="3"/>
  <c r="D499" i="3"/>
  <c r="K501" i="3"/>
  <c r="E499" i="3"/>
  <c r="F499" i="3"/>
  <c r="G499" i="3"/>
  <c r="H499" i="3"/>
  <c r="I499" i="3"/>
  <c r="J499" i="3"/>
  <c r="G187" i="2"/>
  <c r="G87" i="2"/>
  <c r="G219" i="2"/>
  <c r="G224" i="2"/>
  <c r="G178" i="2"/>
  <c r="G48" i="2"/>
  <c r="G67" i="2"/>
  <c r="K13" i="4"/>
  <c r="K14" i="4" s="1"/>
  <c r="L13" i="4"/>
  <c r="L14" i="4" s="1"/>
  <c r="M13" i="4"/>
  <c r="M14" i="4" s="1"/>
  <c r="M11" i="4"/>
  <c r="L11" i="4"/>
  <c r="K11" i="4"/>
  <c r="K7" i="4"/>
  <c r="K8" i="4" s="1"/>
  <c r="L7" i="4"/>
  <c r="L8" i="4" s="1"/>
  <c r="M7" i="4"/>
  <c r="M8" i="4" s="1"/>
  <c r="M5" i="4"/>
  <c r="L5" i="4"/>
  <c r="K5" i="4"/>
  <c r="Q29" i="4"/>
  <c r="P29" i="4"/>
  <c r="O29" i="4"/>
  <c r="N29" i="4"/>
  <c r="M29" i="4"/>
  <c r="L29" i="4"/>
  <c r="K29" i="4"/>
  <c r="P105" i="9"/>
  <c r="O105" i="9"/>
  <c r="R83" i="9"/>
  <c r="R103" i="9" s="1"/>
  <c r="Q83" i="9"/>
  <c r="Q103" i="9" s="1"/>
  <c r="P83" i="9"/>
  <c r="P103" i="9" s="1"/>
  <c r="O83" i="9"/>
  <c r="O103" i="9" s="1"/>
  <c r="N83" i="9"/>
  <c r="N103" i="9" s="1"/>
  <c r="P84" i="9"/>
  <c r="O84" i="9"/>
  <c r="M69" i="9"/>
  <c r="N73" i="9"/>
  <c r="N72" i="9"/>
  <c r="N70" i="9"/>
  <c r="N74" i="9"/>
  <c r="N71" i="9"/>
  <c r="M59" i="9"/>
  <c r="M73" i="9" s="1"/>
  <c r="M58" i="9"/>
  <c r="M72" i="9" s="1"/>
  <c r="M57" i="9"/>
  <c r="M70" i="9" s="1"/>
  <c r="M56" i="9"/>
  <c r="M74" i="9" s="1"/>
  <c r="M55" i="9"/>
  <c r="M71" i="9" s="1"/>
  <c r="N59" i="9"/>
  <c r="N58" i="9"/>
  <c r="N57" i="9"/>
  <c r="N56" i="9"/>
  <c r="N55" i="9"/>
  <c r="C50" i="11"/>
  <c r="Q95" i="4"/>
  <c r="P95" i="4"/>
  <c r="O95" i="4"/>
  <c r="N95" i="4"/>
  <c r="M95" i="4"/>
  <c r="L95" i="4"/>
  <c r="K95" i="4"/>
  <c r="I95" i="4"/>
  <c r="H95" i="4"/>
  <c r="G95" i="4"/>
  <c r="Q10" i="4"/>
  <c r="N5" i="4"/>
  <c r="O11" i="4"/>
  <c r="O10" i="4" s="1"/>
  <c r="O13" i="4"/>
  <c r="O104" i="9" s="1"/>
  <c r="P4" i="4"/>
  <c r="P5" i="4" s="1"/>
  <c r="O4" i="4"/>
  <c r="O5" i="4" s="1"/>
  <c r="O8" i="4"/>
  <c r="O85" i="9" s="1"/>
  <c r="P8" i="4"/>
  <c r="P85" i="9" s="1"/>
  <c r="P13" i="4"/>
  <c r="P104" i="9" s="1"/>
  <c r="P11" i="4"/>
  <c r="P10" i="4" s="1"/>
  <c r="K99" i="4"/>
  <c r="K97" i="4"/>
  <c r="L99" i="4"/>
  <c r="L97" i="4"/>
  <c r="M99" i="4"/>
  <c r="M97" i="4"/>
  <c r="Q99" i="4"/>
  <c r="P99" i="4"/>
  <c r="O99" i="4"/>
  <c r="N99" i="4"/>
  <c r="Q97" i="4"/>
  <c r="P97" i="4"/>
  <c r="O97" i="4"/>
  <c r="N97" i="4"/>
  <c r="R97" i="4"/>
  <c r="R99" i="4"/>
  <c r="R187" i="4"/>
  <c r="R248" i="4"/>
  <c r="R247" i="4"/>
  <c r="Y140" i="4" l="1"/>
  <c r="Y142" i="4" s="1"/>
  <c r="Y144" i="4"/>
  <c r="M22" i="9" s="1"/>
  <c r="N22" i="9" s="1"/>
  <c r="J251" i="9"/>
  <c r="J259" i="9"/>
  <c r="I259" i="9"/>
  <c r="BB144" i="4"/>
  <c r="E14" i="11"/>
  <c r="Y109" i="4"/>
  <c r="D955" i="3"/>
  <c r="N954" i="3"/>
  <c r="G45" i="2"/>
  <c r="I503" i="3"/>
  <c r="G503" i="3"/>
  <c r="I260" i="9"/>
  <c r="I254" i="9"/>
  <c r="I253" i="9"/>
  <c r="I255" i="9"/>
  <c r="I256" i="9"/>
  <c r="I257" i="9"/>
  <c r="I258" i="9"/>
  <c r="K503" i="3"/>
  <c r="H503" i="3"/>
  <c r="F503" i="3"/>
  <c r="K100" i="4"/>
  <c r="J503" i="3"/>
  <c r="E503" i="3"/>
  <c r="D503" i="3"/>
  <c r="R100" i="4"/>
  <c r="L100" i="4"/>
  <c r="M100" i="4"/>
  <c r="N100" i="4"/>
  <c r="O100" i="4"/>
  <c r="P100" i="4"/>
  <c r="Q100" i="4"/>
  <c r="R55" i="4"/>
  <c r="H41" i="11"/>
  <c r="H39" i="11"/>
  <c r="G41" i="11"/>
  <c r="G39" i="11"/>
  <c r="K42" i="11"/>
  <c r="J42" i="11"/>
  <c r="D40" i="11"/>
  <c r="N147" i="4"/>
  <c r="J147" i="4"/>
  <c r="H147" i="4"/>
  <c r="O147" i="4"/>
  <c r="C24" i="9" s="1"/>
  <c r="R139" i="4"/>
  <c r="R140" i="4" s="1"/>
  <c r="R143" i="4" s="1"/>
  <c r="R109" i="4"/>
  <c r="R118" i="4"/>
  <c r="R147" i="4" s="1"/>
  <c r="R121" i="4"/>
  <c r="R145" i="4"/>
  <c r="F23" i="9" s="1"/>
  <c r="R29" i="4"/>
  <c r="R47" i="4"/>
  <c r="R46" i="4"/>
  <c r="F6" i="9" s="1"/>
  <c r="R53" i="4"/>
  <c r="R50" i="4"/>
  <c r="R157" i="4"/>
  <c r="R158" i="4" s="1"/>
  <c r="R162" i="4"/>
  <c r="R34" i="4" s="1"/>
  <c r="Q11" i="4"/>
  <c r="B14" i="4"/>
  <c r="B13" i="4"/>
  <c r="N11" i="4"/>
  <c r="R7" i="4"/>
  <c r="B8" i="4"/>
  <c r="B7" i="4"/>
  <c r="R11" i="4"/>
  <c r="R5" i="4"/>
  <c r="Q5" i="4" s="1"/>
  <c r="Q4" i="4" s="1"/>
  <c r="Q7" i="4" s="1"/>
  <c r="R1" i="4"/>
  <c r="R125" i="4"/>
  <c r="F21" i="9" s="1"/>
  <c r="R93" i="4"/>
  <c r="AV100" i="4"/>
  <c r="AV99" i="4"/>
  <c r="AV144" i="4"/>
  <c r="AV124" i="4"/>
  <c r="AV79" i="4"/>
  <c r="AV35" i="4"/>
  <c r="AV3" i="4"/>
  <c r="AV2" i="4"/>
  <c r="H870" i="3" s="1"/>
  <c r="C22" i="9"/>
  <c r="C20" i="9"/>
  <c r="C17" i="9"/>
  <c r="C7" i="9"/>
  <c r="C14" i="9" s="1"/>
  <c r="C5" i="9"/>
  <c r="D22" i="9"/>
  <c r="D20" i="9"/>
  <c r="D17" i="9"/>
  <c r="D7" i="9"/>
  <c r="D14" i="9" s="1"/>
  <c r="D5" i="9"/>
  <c r="E22" i="9"/>
  <c r="E20" i="9"/>
  <c r="E17" i="9"/>
  <c r="E7" i="9"/>
  <c r="E14" i="9" s="1"/>
  <c r="E5" i="9"/>
  <c r="F22" i="9"/>
  <c r="F20" i="9"/>
  <c r="F17" i="9"/>
  <c r="F7" i="9"/>
  <c r="F14" i="9" s="1"/>
  <c r="F5" i="9"/>
  <c r="D956" i="3" l="1"/>
  <c r="N956" i="3" s="1"/>
  <c r="J260" i="9"/>
  <c r="J254" i="9"/>
  <c r="J256" i="9"/>
  <c r="J253" i="9"/>
  <c r="J258" i="9"/>
  <c r="J255" i="9"/>
  <c r="J257" i="9"/>
  <c r="S98" i="4"/>
  <c r="AZ55" i="4"/>
  <c r="R129" i="4"/>
  <c r="F25" i="9" s="1"/>
  <c r="H871" i="3"/>
  <c r="R31" i="4"/>
  <c r="C18" i="9"/>
  <c r="F18" i="9"/>
  <c r="D18" i="9"/>
  <c r="E18" i="9"/>
  <c r="C19" i="9"/>
  <c r="N60" i="9"/>
  <c r="D19" i="9"/>
  <c r="R8" i="4"/>
  <c r="R85" i="9" s="1"/>
  <c r="R84" i="9"/>
  <c r="E16" i="9"/>
  <c r="F16" i="9"/>
  <c r="Q8" i="4"/>
  <c r="Q85" i="9" s="1"/>
  <c r="Q84" i="9"/>
  <c r="E19" i="9"/>
  <c r="F19" i="9"/>
  <c r="C16" i="9"/>
  <c r="D16" i="9"/>
  <c r="R57" i="4"/>
  <c r="R56" i="4"/>
  <c r="R148" i="4"/>
  <c r="F24" i="9"/>
  <c r="R52" i="4"/>
  <c r="E42" i="11"/>
  <c r="R51" i="4"/>
  <c r="R13" i="4"/>
  <c r="N13" i="4"/>
  <c r="Q13" i="4"/>
  <c r="E665" i="1"/>
  <c r="C669" i="1"/>
  <c r="C666" i="1"/>
  <c r="P133" i="4"/>
  <c r="P135" i="4" s="1"/>
  <c r="P136" i="4" s="1"/>
  <c r="O132" i="4"/>
  <c r="O131" i="4"/>
  <c r="Q133" i="4"/>
  <c r="Q135" i="4" s="1"/>
  <c r="Q136" i="4" s="1"/>
  <c r="Q46" i="4"/>
  <c r="E6" i="9" s="1"/>
  <c r="Q47" i="4"/>
  <c r="O47" i="4" s="1"/>
  <c r="P248" i="4"/>
  <c r="O248" i="4"/>
  <c r="N248" i="4"/>
  <c r="M248" i="4"/>
  <c r="L248" i="4"/>
  <c r="K248" i="4"/>
  <c r="J248" i="4"/>
  <c r="I248" i="4"/>
  <c r="H248" i="4"/>
  <c r="G248" i="4"/>
  <c r="F248" i="4"/>
  <c r="E248" i="4"/>
  <c r="D248" i="4"/>
  <c r="Q248" i="4"/>
  <c r="P247" i="4"/>
  <c r="O247" i="4"/>
  <c r="N247" i="4"/>
  <c r="M247" i="4"/>
  <c r="L247" i="4"/>
  <c r="K247" i="4"/>
  <c r="J247" i="4"/>
  <c r="I247" i="4"/>
  <c r="H247" i="4"/>
  <c r="G247" i="4"/>
  <c r="F247" i="4"/>
  <c r="E247" i="4"/>
  <c r="D247" i="4"/>
  <c r="Q247" i="4"/>
  <c r="P238" i="4"/>
  <c r="O238" i="4"/>
  <c r="N238" i="4"/>
  <c r="M238" i="4"/>
  <c r="L238" i="4"/>
  <c r="K238" i="4"/>
  <c r="J238" i="4"/>
  <c r="I238" i="4"/>
  <c r="H238" i="4"/>
  <c r="G238" i="4"/>
  <c r="F238" i="4"/>
  <c r="E238" i="4"/>
  <c r="D238" i="4"/>
  <c r="Q238" i="4"/>
  <c r="C226" i="4"/>
  <c r="D226" i="4"/>
  <c r="E226" i="4"/>
  <c r="F226" i="4"/>
  <c r="Q226" i="4"/>
  <c r="P226" i="4"/>
  <c r="O226" i="4"/>
  <c r="N226" i="4"/>
  <c r="M226" i="4"/>
  <c r="L226" i="4"/>
  <c r="K226" i="4"/>
  <c r="J226" i="4"/>
  <c r="I226" i="4"/>
  <c r="H226" i="4"/>
  <c r="G226" i="4"/>
  <c r="K186" i="4"/>
  <c r="H249" i="9" l="1"/>
  <c r="R14" i="4"/>
  <c r="R105" i="9" s="1"/>
  <c r="R104" i="9"/>
  <c r="N14" i="4"/>
  <c r="N105" i="9" s="1"/>
  <c r="N104" i="9"/>
  <c r="Q14" i="4"/>
  <c r="Q105" i="9" s="1"/>
  <c r="Q104" i="9"/>
  <c r="N7" i="4"/>
  <c r="J4" i="4"/>
  <c r="O133" i="4"/>
  <c r="O135" i="4" s="1"/>
  <c r="O136" i="4" s="1"/>
  <c r="F227" i="4"/>
  <c r="G227" i="4"/>
  <c r="L227" i="4"/>
  <c r="O227" i="4"/>
  <c r="M227" i="4"/>
  <c r="I227" i="4"/>
  <c r="P227" i="4"/>
  <c r="J227" i="4"/>
  <c r="H227" i="4"/>
  <c r="K227" i="4"/>
  <c r="E227" i="4"/>
  <c r="Q227" i="4"/>
  <c r="N227" i="4"/>
  <c r="D227" i="4"/>
  <c r="Q220" i="4"/>
  <c r="P220" i="4"/>
  <c r="O220" i="4"/>
  <c r="N220" i="4"/>
  <c r="M220" i="4"/>
  <c r="L220" i="4"/>
  <c r="K220" i="4"/>
  <c r="J220" i="4"/>
  <c r="I220" i="4"/>
  <c r="H220" i="4"/>
  <c r="G220" i="4"/>
  <c r="F220" i="4"/>
  <c r="E220" i="4"/>
  <c r="D220" i="4"/>
  <c r="C220" i="4"/>
  <c r="Q211" i="4"/>
  <c r="P211" i="4"/>
  <c r="O211" i="4"/>
  <c r="N211" i="4"/>
  <c r="M211" i="4"/>
  <c r="L211" i="4"/>
  <c r="K211" i="4"/>
  <c r="J211" i="4"/>
  <c r="I211" i="4"/>
  <c r="H211" i="4"/>
  <c r="G211" i="4"/>
  <c r="F211" i="4"/>
  <c r="E211" i="4"/>
  <c r="D211" i="4"/>
  <c r="C211" i="4"/>
  <c r="Q187" i="4"/>
  <c r="P187" i="4"/>
  <c r="O187" i="4"/>
  <c r="N187" i="4"/>
  <c r="M187" i="4"/>
  <c r="L187" i="4"/>
  <c r="K187" i="4"/>
  <c r="J187" i="4"/>
  <c r="I187" i="4"/>
  <c r="H187" i="4"/>
  <c r="G187" i="4"/>
  <c r="F187" i="4"/>
  <c r="E187" i="4"/>
  <c r="D187" i="4"/>
  <c r="C187" i="4"/>
  <c r="Q206" i="4"/>
  <c r="P206" i="4"/>
  <c r="O206" i="4"/>
  <c r="N206" i="4"/>
  <c r="M206" i="4"/>
  <c r="L206" i="4"/>
  <c r="K206" i="4"/>
  <c r="J206" i="4"/>
  <c r="I206" i="4"/>
  <c r="H206" i="4"/>
  <c r="G206" i="4"/>
  <c r="F206" i="4"/>
  <c r="E206" i="4"/>
  <c r="D206" i="4"/>
  <c r="C206" i="4"/>
  <c r="Q194" i="4"/>
  <c r="P194" i="4"/>
  <c r="O194" i="4"/>
  <c r="N194" i="4"/>
  <c r="M194" i="4"/>
  <c r="L194" i="4"/>
  <c r="K194" i="4"/>
  <c r="J194" i="4"/>
  <c r="I194" i="4"/>
  <c r="H194" i="4"/>
  <c r="G194" i="4"/>
  <c r="F194" i="4"/>
  <c r="E194" i="4"/>
  <c r="D194" i="4"/>
  <c r="C194" i="4"/>
  <c r="Q109" i="4"/>
  <c r="P109" i="4"/>
  <c r="N109" i="4"/>
  <c r="M109" i="4"/>
  <c r="J109" i="4"/>
  <c r="I109" i="4"/>
  <c r="H109" i="4"/>
  <c r="G109" i="4"/>
  <c r="H251" i="9" l="1"/>
  <c r="N8" i="4"/>
  <c r="N85" i="9" s="1"/>
  <c r="N84" i="9"/>
  <c r="D212" i="4"/>
  <c r="L212" i="4"/>
  <c r="E212" i="4"/>
  <c r="M212" i="4"/>
  <c r="P212" i="4"/>
  <c r="F212" i="4"/>
  <c r="G195" i="4"/>
  <c r="H212" i="4"/>
  <c r="E195" i="4"/>
  <c r="G212" i="4"/>
  <c r="O212" i="4"/>
  <c r="O195" i="4"/>
  <c r="J212" i="4"/>
  <c r="K212" i="4"/>
  <c r="C212" i="4"/>
  <c r="I212" i="4"/>
  <c r="Q212" i="4"/>
  <c r="N212" i="4"/>
  <c r="M195" i="4"/>
  <c r="F195" i="4"/>
  <c r="N195" i="4"/>
  <c r="H195" i="4"/>
  <c r="P195" i="4"/>
  <c r="I195" i="4"/>
  <c r="Q195" i="4"/>
  <c r="J195" i="4"/>
  <c r="K195" i="4"/>
  <c r="D195" i="4"/>
  <c r="L195" i="4"/>
  <c r="C195" i="4"/>
  <c r="B162" i="4"/>
  <c r="B161" i="4"/>
  <c r="Q157" i="4"/>
  <c r="Q161" i="4" s="1"/>
  <c r="AU100" i="4"/>
  <c r="AU99" i="4"/>
  <c r="AU144" i="4"/>
  <c r="AU124" i="4"/>
  <c r="AU79" i="4"/>
  <c r="AU35" i="4"/>
  <c r="AU3" i="4"/>
  <c r="AU2" i="4"/>
  <c r="G870" i="3" s="1"/>
  <c r="Q169" i="4"/>
  <c r="Q145" i="4"/>
  <c r="E23" i="9" s="1"/>
  <c r="Q140" i="4"/>
  <c r="Q118" i="4"/>
  <c r="Q147" i="4" s="1"/>
  <c r="E24" i="9" s="1"/>
  <c r="Q125" i="4"/>
  <c r="E21" i="9" s="1"/>
  <c r="Q121" i="4"/>
  <c r="Q93" i="4"/>
  <c r="Q55" i="4"/>
  <c r="Q53" i="4"/>
  <c r="Q50" i="4"/>
  <c r="Q1" i="4"/>
  <c r="L870" i="3"/>
  <c r="M169" i="4"/>
  <c r="N165" i="4"/>
  <c r="M165" i="4"/>
  <c r="O157" i="4"/>
  <c r="O161" i="4" s="1"/>
  <c r="O162" i="4" s="1"/>
  <c r="N157" i="4"/>
  <c r="N161" i="4" s="1"/>
  <c r="N162" i="4" s="1"/>
  <c r="M157" i="4"/>
  <c r="M161" i="4" s="1"/>
  <c r="M162" i="4" s="1"/>
  <c r="M34" i="4" s="1"/>
  <c r="L157" i="4"/>
  <c r="K157" i="4"/>
  <c r="J157" i="4"/>
  <c r="I157" i="4"/>
  <c r="H157" i="4"/>
  <c r="G157" i="4"/>
  <c r="F157" i="4"/>
  <c r="E157" i="4"/>
  <c r="D157" i="4"/>
  <c r="C157" i="4"/>
  <c r="N169" i="4"/>
  <c r="O169" i="4"/>
  <c r="P169" i="4"/>
  <c r="L165" i="4"/>
  <c r="O165" i="4"/>
  <c r="P165" i="4"/>
  <c r="P157" i="4"/>
  <c r="P161" i="4" s="1"/>
  <c r="Q160" i="4" s="1"/>
  <c r="P118" i="4"/>
  <c r="P147" i="4" s="1"/>
  <c r="D24" i="9" s="1"/>
  <c r="AT100" i="4"/>
  <c r="AT99" i="4"/>
  <c r="AT124" i="4"/>
  <c r="AT79" i="4"/>
  <c r="AT35" i="4"/>
  <c r="AT3" i="4"/>
  <c r="AT2" i="4"/>
  <c r="F870" i="3" s="1"/>
  <c r="P145" i="4"/>
  <c r="D23" i="9" s="1"/>
  <c r="P125" i="4"/>
  <c r="D21" i="9" s="1"/>
  <c r="P121" i="4"/>
  <c r="P93" i="4"/>
  <c r="P55" i="4"/>
  <c r="AX55" i="4" s="1"/>
  <c r="P53" i="4"/>
  <c r="P50" i="4"/>
  <c r="P46" i="4"/>
  <c r="D6" i="9" s="1"/>
  <c r="P36" i="4"/>
  <c r="P1" i="4"/>
  <c r="E79" i="6"/>
  <c r="D79" i="6"/>
  <c r="O1" i="4"/>
  <c r="AS100" i="4"/>
  <c r="AS99" i="4"/>
  <c r="AS124" i="4"/>
  <c r="AS79" i="4"/>
  <c r="AS35" i="4"/>
  <c r="AS3" i="4"/>
  <c r="AS2" i="4"/>
  <c r="E870" i="3" s="1"/>
  <c r="O148" i="4"/>
  <c r="O139" i="4"/>
  <c r="O108" i="4"/>
  <c r="O109" i="4" s="1"/>
  <c r="O145" i="4"/>
  <c r="C23" i="9" s="1"/>
  <c r="O121" i="4"/>
  <c r="O46" i="4"/>
  <c r="C6" i="9" s="1"/>
  <c r="O36" i="4"/>
  <c r="O53" i="4"/>
  <c r="O50" i="4"/>
  <c r="O55" i="4"/>
  <c r="AW55" i="4" s="1"/>
  <c r="O93" i="4"/>
  <c r="O125" i="4"/>
  <c r="C21" i="9" s="1"/>
  <c r="L467" i="3"/>
  <c r="K467" i="3"/>
  <c r="J467" i="3"/>
  <c r="I467" i="3"/>
  <c r="H467" i="3"/>
  <c r="G467" i="3"/>
  <c r="F467" i="3"/>
  <c r="E467" i="3"/>
  <c r="D467" i="3"/>
  <c r="C467" i="3"/>
  <c r="B68" i="6"/>
  <c r="F59" i="6"/>
  <c r="E59" i="6"/>
  <c r="D59" i="6"/>
  <c r="O34" i="4" l="1"/>
  <c r="O69" i="9"/>
  <c r="H257" i="9"/>
  <c r="H253" i="9"/>
  <c r="H258" i="9"/>
  <c r="H259" i="9"/>
  <c r="H255" i="9"/>
  <c r="H256" i="9"/>
  <c r="H254" i="9"/>
  <c r="H260" i="9"/>
  <c r="P129" i="4"/>
  <c r="D25" i="9" s="1"/>
  <c r="F871" i="3"/>
  <c r="O129" i="4"/>
  <c r="C25" i="9" s="1"/>
  <c r="E871" i="3"/>
  <c r="Q129" i="4"/>
  <c r="E25" i="9" s="1"/>
  <c r="G871" i="3"/>
  <c r="AY55" i="4"/>
  <c r="Q61" i="4"/>
  <c r="R61" i="4" s="1"/>
  <c r="C251" i="9"/>
  <c r="O33" i="4"/>
  <c r="G146" i="2" s="1"/>
  <c r="N69" i="9"/>
  <c r="N34" i="4"/>
  <c r="O57" i="4"/>
  <c r="P98" i="4"/>
  <c r="P57" i="4"/>
  <c r="Q98" i="4"/>
  <c r="Q57" i="4"/>
  <c r="R98" i="4"/>
  <c r="O56" i="4"/>
  <c r="P56" i="4"/>
  <c r="Q56" i="4"/>
  <c r="Q148" i="4"/>
  <c r="P148" i="4"/>
  <c r="Q162" i="4"/>
  <c r="Q159" i="4"/>
  <c r="Q143" i="4"/>
  <c r="Q229" i="4"/>
  <c r="Q234" i="4" s="1"/>
  <c r="Q241" i="4" s="1"/>
  <c r="P162" i="4"/>
  <c r="P52" i="4"/>
  <c r="O52" i="4"/>
  <c r="Q51" i="4"/>
  <c r="Q52" i="4"/>
  <c r="P51" i="4"/>
  <c r="O51" i="4"/>
  <c r="O140" i="4"/>
  <c r="E250" i="9" l="1"/>
  <c r="E251" i="9" s="1"/>
  <c r="I269" i="9" s="1"/>
  <c r="D251" i="9"/>
  <c r="C254" i="9"/>
  <c r="C260" i="9"/>
  <c r="C255" i="9"/>
  <c r="C256" i="9"/>
  <c r="C257" i="9"/>
  <c r="C253" i="9"/>
  <c r="Q34" i="4"/>
  <c r="P163" i="4"/>
  <c r="P34" i="4"/>
  <c r="O143" i="4"/>
  <c r="O229" i="4"/>
  <c r="O234" i="4" s="1"/>
  <c r="O241" i="4" s="1"/>
  <c r="G553" i="1"/>
  <c r="Q163" i="4"/>
  <c r="Q15" i="4"/>
  <c r="L178" i="2"/>
  <c r="M178" i="2" s="1"/>
  <c r="F71" i="6"/>
  <c r="E71" i="6"/>
  <c r="D71" i="6"/>
  <c r="F69" i="6"/>
  <c r="E69" i="6"/>
  <c r="D69" i="6"/>
  <c r="C61" i="6"/>
  <c r="C70" i="6" s="1"/>
  <c r="C63" i="6"/>
  <c r="E51" i="2"/>
  <c r="I264" i="9" l="1"/>
  <c r="I265" i="9"/>
  <c r="E255" i="9"/>
  <c r="I267" i="9"/>
  <c r="E253" i="9"/>
  <c r="E260" i="9"/>
  <c r="I268" i="9"/>
  <c r="E258" i="9"/>
  <c r="I263" i="9"/>
  <c r="E256" i="9"/>
  <c r="I266" i="9"/>
  <c r="E257" i="9"/>
  <c r="E259" i="9"/>
  <c r="E254" i="9"/>
  <c r="P31" i="4"/>
  <c r="Q31" i="4"/>
  <c r="D254" i="9"/>
  <c r="D256" i="9"/>
  <c r="D255" i="9"/>
  <c r="D260" i="9"/>
  <c r="D257" i="9"/>
  <c r="D253" i="9"/>
  <c r="C524" i="1"/>
  <c r="I441" i="3"/>
  <c r="O441" i="3" s="1"/>
  <c r="D441" i="3"/>
  <c r="J441" i="3" s="1"/>
  <c r="P441" i="3" s="1"/>
  <c r="G136" i="2" l="1"/>
  <c r="G249" i="9"/>
  <c r="F249" i="9"/>
  <c r="E441" i="3"/>
  <c r="F441" i="3" s="1"/>
  <c r="L441" i="3" s="1"/>
  <c r="R441" i="3" s="1"/>
  <c r="G151" i="2" l="1"/>
  <c r="G161" i="2"/>
  <c r="G164" i="2" s="1"/>
  <c r="F251" i="9"/>
  <c r="J268" i="9" s="1"/>
  <c r="G251" i="9"/>
  <c r="K441" i="3"/>
  <c r="Q441" i="3" s="1"/>
  <c r="G441" i="3"/>
  <c r="M441" i="3" s="1"/>
  <c r="S441" i="3" s="1"/>
  <c r="E45" i="2"/>
  <c r="L387" i="1"/>
  <c r="L388" i="1" s="1"/>
  <c r="M387" i="1"/>
  <c r="M388" i="1" s="1"/>
  <c r="E283" i="1"/>
  <c r="F283" i="1" s="1"/>
  <c r="K263" i="9" l="1"/>
  <c r="K267" i="9"/>
  <c r="K266" i="9"/>
  <c r="K265" i="9"/>
  <c r="K264" i="9"/>
  <c r="K269" i="9"/>
  <c r="K268" i="9"/>
  <c r="F259" i="9"/>
  <c r="J266" i="9"/>
  <c r="J265" i="9"/>
  <c r="J263" i="9"/>
  <c r="J269" i="9"/>
  <c r="J264" i="9"/>
  <c r="J267" i="9"/>
  <c r="F256" i="9"/>
  <c r="F257" i="9"/>
  <c r="F253" i="9"/>
  <c r="F260" i="9"/>
  <c r="F254" i="9"/>
  <c r="F255" i="9"/>
  <c r="F258" i="9"/>
  <c r="G259" i="9"/>
  <c r="G255" i="9"/>
  <c r="G260" i="9"/>
  <c r="G254" i="9"/>
  <c r="G257" i="9"/>
  <c r="G256" i="9"/>
  <c r="G253" i="9"/>
  <c r="G258" i="9"/>
  <c r="N148" i="4"/>
  <c r="J148" i="4"/>
  <c r="H148" i="4"/>
  <c r="J145" i="4"/>
  <c r="N139" i="4"/>
  <c r="N121" i="4"/>
  <c r="N93" i="4"/>
  <c r="N55" i="4"/>
  <c r="N36" i="4"/>
  <c r="N46" i="4"/>
  <c r="N53" i="4"/>
  <c r="N50" i="4"/>
  <c r="N125" i="4"/>
  <c r="AV55" i="4" l="1"/>
  <c r="N57" i="4"/>
  <c r="O98" i="4"/>
  <c r="N56" i="4"/>
  <c r="N52" i="4"/>
  <c r="N51" i="4"/>
  <c r="E419" i="3"/>
  <c r="E418" i="3"/>
  <c r="E417" i="3"/>
  <c r="E416" i="3"/>
  <c r="AR144" i="4" l="1"/>
  <c r="AQ144" i="4"/>
  <c r="AQ124" i="4"/>
  <c r="AP124" i="4"/>
  <c r="AO124" i="4"/>
  <c r="AR79" i="4"/>
  <c r="N129" i="4" s="1"/>
  <c r="AQ79" i="4"/>
  <c r="AP79" i="4"/>
  <c r="AO79" i="4"/>
  <c r="AN79" i="4"/>
  <c r="AM79" i="4"/>
  <c r="AL79" i="4"/>
  <c r="AK79" i="4"/>
  <c r="N145" i="4"/>
  <c r="N140" i="4"/>
  <c r="I116" i="4"/>
  <c r="I117" i="4"/>
  <c r="B50" i="6"/>
  <c r="B54" i="6" s="1"/>
  <c r="G50" i="6"/>
  <c r="F50" i="6"/>
  <c r="E50" i="6"/>
  <c r="D50" i="6"/>
  <c r="B29" i="6"/>
  <c r="G29" i="6"/>
  <c r="F29" i="6"/>
  <c r="E29" i="6"/>
  <c r="D29" i="6"/>
  <c r="AR35" i="4"/>
  <c r="C153" i="4"/>
  <c r="D153" i="4"/>
  <c r="E153" i="4"/>
  <c r="H153" i="4"/>
  <c r="G153" i="4"/>
  <c r="F153" i="4"/>
  <c r="AR100" i="4"/>
  <c r="AR99" i="4"/>
  <c r="AQ100" i="4"/>
  <c r="AQ99" i="4"/>
  <c r="AR2" i="4"/>
  <c r="C47" i="7"/>
  <c r="C46" i="7"/>
  <c r="C45" i="7"/>
  <c r="D43" i="7"/>
  <c r="C43" i="7"/>
  <c r="E42" i="7"/>
  <c r="D42" i="7"/>
  <c r="C42" i="7"/>
  <c r="D39" i="7"/>
  <c r="D36" i="7"/>
  <c r="C36" i="7"/>
  <c r="I147" i="4" l="1"/>
  <c r="I148" i="4" s="1"/>
  <c r="N143" i="4"/>
  <c r="N229" i="4"/>
  <c r="E398" i="3"/>
  <c r="D398" i="3"/>
  <c r="C398" i="3"/>
  <c r="F397" i="3"/>
  <c r="E397" i="3"/>
  <c r="D397" i="3"/>
  <c r="C397" i="3"/>
  <c r="I398" i="3"/>
  <c r="H398" i="3"/>
  <c r="G398" i="3"/>
  <c r="I397" i="3"/>
  <c r="H397" i="3"/>
  <c r="G397" i="3"/>
  <c r="N234" i="4" l="1"/>
  <c r="N241" i="4" s="1"/>
  <c r="E392" i="3"/>
  <c r="D391" i="3"/>
  <c r="E391" i="3" s="1"/>
  <c r="F391" i="3" s="1"/>
  <c r="G391" i="3" s="1"/>
  <c r="H391" i="3" s="1"/>
  <c r="I391" i="3" s="1"/>
  <c r="J3" i="4" l="1"/>
  <c r="J95" i="4" s="1"/>
  <c r="M118" i="4"/>
  <c r="M147" i="4" s="1"/>
  <c r="M148" i="4" s="1"/>
  <c r="M140" i="4"/>
  <c r="J124" i="4"/>
  <c r="J127" i="4" s="1"/>
  <c r="I125" i="4"/>
  <c r="E402" i="3" s="1"/>
  <c r="M53" i="4"/>
  <c r="F4" i="5"/>
  <c r="H142" i="4"/>
  <c r="I46" i="4"/>
  <c r="AQ35" i="4"/>
  <c r="M121" i="4"/>
  <c r="M93" i="4"/>
  <c r="I401" i="3" s="1"/>
  <c r="M55" i="4"/>
  <c r="K46" i="4"/>
  <c r="L46" i="4"/>
  <c r="M46" i="4"/>
  <c r="AQ2" i="4"/>
  <c r="AU55" i="4" l="1"/>
  <c r="M57" i="4"/>
  <c r="N98" i="4"/>
  <c r="M56" i="4"/>
  <c r="J5" i="4"/>
  <c r="J7" i="4"/>
  <c r="J8" i="4" s="1"/>
  <c r="AR3" i="4"/>
  <c r="K1" i="4"/>
  <c r="M143" i="4"/>
  <c r="M229" i="4"/>
  <c r="M234" i="4" s="1"/>
  <c r="M241" i="4" s="1"/>
  <c r="AR124" i="4"/>
  <c r="J46" i="4"/>
  <c r="F398" i="3"/>
  <c r="F392" i="3"/>
  <c r="J125" i="4"/>
  <c r="F402" i="3" s="1"/>
  <c r="I145" i="4"/>
  <c r="M145" i="4"/>
  <c r="M125" i="4"/>
  <c r="M50" i="4"/>
  <c r="M51" i="4" l="1"/>
  <c r="M52" i="4"/>
  <c r="I402" i="3"/>
  <c r="G392" i="3"/>
  <c r="AQ3" i="4"/>
  <c r="L362" i="3" l="1"/>
  <c r="K362" i="3"/>
  <c r="J362" i="3"/>
  <c r="I362" i="3"/>
  <c r="H362" i="3"/>
  <c r="G362" i="3"/>
  <c r="F362" i="3"/>
  <c r="E362" i="3"/>
  <c r="D362" i="3"/>
  <c r="D80" i="6" l="1"/>
  <c r="D84" i="6" l="1"/>
  <c r="D81" i="6"/>
  <c r="D381" i="3"/>
  <c r="E381" i="3" s="1"/>
  <c r="F381" i="3" s="1"/>
  <c r="G381" i="3" s="1"/>
  <c r="H381" i="3" s="1"/>
  <c r="I381" i="3" s="1"/>
  <c r="J381" i="3" s="1"/>
  <c r="K381" i="3" s="1"/>
  <c r="L381" i="3" s="1"/>
  <c r="D370" i="3"/>
  <c r="E370" i="3" s="1"/>
  <c r="F370" i="3" s="1"/>
  <c r="G370" i="3" s="1"/>
  <c r="H370" i="3" s="1"/>
  <c r="I370" i="3" s="1"/>
  <c r="J370" i="3" s="1"/>
  <c r="K370" i="3" s="1"/>
  <c r="L370" i="3" s="1"/>
  <c r="D358" i="3"/>
  <c r="E358" i="3" s="1"/>
  <c r="F358" i="3" s="1"/>
  <c r="G358" i="3" s="1"/>
  <c r="H358" i="3" s="1"/>
  <c r="I358" i="3" s="1"/>
  <c r="J358" i="3" s="1"/>
  <c r="K358" i="3" s="1"/>
  <c r="L358" i="3" s="1"/>
  <c r="K118" i="4"/>
  <c r="L118" i="4"/>
  <c r="L108" i="4" s="1"/>
  <c r="K116" i="4"/>
  <c r="K114" i="4"/>
  <c r="K113" i="4"/>
  <c r="H145" i="4"/>
  <c r="K125" i="4"/>
  <c r="H46" i="4"/>
  <c r="AP99" i="4"/>
  <c r="AO99" i="4"/>
  <c r="AP100" i="4"/>
  <c r="AO100" i="4"/>
  <c r="AP35" i="4"/>
  <c r="AP3" i="4"/>
  <c r="AP2" i="4"/>
  <c r="L121" i="4"/>
  <c r="L55" i="4"/>
  <c r="G46" i="4"/>
  <c r="L93" i="4"/>
  <c r="H401" i="3" s="1"/>
  <c r="H125" i="4"/>
  <c r="L53" i="4"/>
  <c r="L50" i="4"/>
  <c r="L125" i="4"/>
  <c r="C347" i="3"/>
  <c r="C348" i="3" s="1"/>
  <c r="C350" i="3" s="1"/>
  <c r="C352" i="3" s="1"/>
  <c r="AT55" i="4" l="1"/>
  <c r="L57" i="4"/>
  <c r="M98" i="4"/>
  <c r="L56" i="4"/>
  <c r="L140" i="4"/>
  <c r="L109" i="4"/>
  <c r="L52" i="4"/>
  <c r="D82" i="6"/>
  <c r="D83" i="6" s="1"/>
  <c r="D402" i="3"/>
  <c r="G402" i="3"/>
  <c r="H402" i="3"/>
  <c r="K108" i="4"/>
  <c r="K109" i="4" s="1"/>
  <c r="L51" i="4"/>
  <c r="C276" i="3"/>
  <c r="C277" i="3"/>
  <c r="L144" i="4" l="1"/>
  <c r="L229" i="4"/>
  <c r="L234" i="4" s="1"/>
  <c r="L241" i="4" s="1"/>
  <c r="L143" i="4"/>
  <c r="F49" i="5"/>
  <c r="E49" i="5" s="1"/>
  <c r="H49" i="5"/>
  <c r="I49" i="5" s="1"/>
  <c r="D53" i="5"/>
  <c r="D54" i="5" s="1"/>
  <c r="D51" i="5"/>
  <c r="D50" i="5" s="1"/>
  <c r="AT144" i="4" l="1"/>
  <c r="L147" i="4"/>
  <c r="L148" i="4" s="1"/>
  <c r="AP144" i="4"/>
  <c r="L145" i="4"/>
  <c r="E318" i="3"/>
  <c r="E316" i="3"/>
  <c r="E315" i="3"/>
  <c r="E313" i="3"/>
  <c r="E312" i="3"/>
  <c r="E311" i="3"/>
  <c r="E310" i="3"/>
  <c r="E309" i="3"/>
  <c r="I313" i="3"/>
  <c r="I312" i="3"/>
  <c r="I311" i="3"/>
  <c r="I310" i="3"/>
  <c r="H318" i="3"/>
  <c r="H316" i="3"/>
  <c r="H315" i="3"/>
  <c r="I309" i="3"/>
  <c r="D319" i="3"/>
  <c r="C317" i="3"/>
  <c r="E317" i="3" s="1"/>
  <c r="E319" i="3" l="1"/>
  <c r="F312" i="3" s="1"/>
  <c r="H317" i="3"/>
  <c r="C319" i="3"/>
  <c r="L28" i="5"/>
  <c r="K28" i="5"/>
  <c r="J28" i="5"/>
  <c r="I28" i="5"/>
  <c r="E27" i="5"/>
  <c r="C37" i="5"/>
  <c r="H303" i="3"/>
  <c r="H302" i="3"/>
  <c r="H301" i="3"/>
  <c r="D300" i="3"/>
  <c r="E300" i="3" s="1"/>
  <c r="F300" i="3" s="1"/>
  <c r="G300" i="3" s="1"/>
  <c r="F310" i="3" l="1"/>
  <c r="F315" i="3"/>
  <c r="H319" i="3"/>
  <c r="G317" i="3" s="1"/>
  <c r="F316" i="3"/>
  <c r="F313" i="3"/>
  <c r="F311" i="3"/>
  <c r="F309" i="3"/>
  <c r="F319" i="3"/>
  <c r="F318" i="3"/>
  <c r="F317" i="3"/>
  <c r="N28" i="5"/>
  <c r="M28" i="5"/>
  <c r="G319" i="3" l="1"/>
  <c r="G309" i="3"/>
  <c r="G312" i="3"/>
  <c r="G310" i="3"/>
  <c r="G315" i="3"/>
  <c r="G313" i="3"/>
  <c r="G316" i="3"/>
  <c r="G311" i="3"/>
  <c r="G318" i="3"/>
  <c r="C282" i="3" l="1"/>
  <c r="D282" i="3" s="1"/>
  <c r="B75" i="6"/>
  <c r="G36" i="6"/>
  <c r="F36" i="6"/>
  <c r="E36" i="6"/>
  <c r="E47" i="6" s="1"/>
  <c r="D36" i="6"/>
  <c r="C36" i="6"/>
  <c r="G17" i="6"/>
  <c r="F17" i="6"/>
  <c r="E17" i="6"/>
  <c r="D17" i="6"/>
  <c r="C17" i="6"/>
  <c r="G7" i="6"/>
  <c r="F7" i="6"/>
  <c r="E7" i="6"/>
  <c r="D7" i="6"/>
  <c r="C7" i="6"/>
  <c r="B71" i="6"/>
  <c r="B70" i="6"/>
  <c r="B76" i="6" s="1"/>
  <c r="B69" i="6"/>
  <c r="B57" i="6"/>
  <c r="B66" i="6" s="1"/>
  <c r="B74" i="6" s="1"/>
  <c r="C283" i="3" l="1"/>
  <c r="C284" i="3" s="1"/>
  <c r="D284" i="3" s="1"/>
  <c r="F47" i="6"/>
  <c r="C47" i="6"/>
  <c r="G47" i="6"/>
  <c r="D47" i="6"/>
  <c r="D283" i="3" l="1"/>
  <c r="G246" i="3"/>
  <c r="G245" i="3"/>
  <c r="G232" i="3"/>
  <c r="G238" i="3" s="1"/>
  <c r="G273" i="3"/>
  <c r="F273" i="3"/>
  <c r="D278" i="3"/>
  <c r="G275" i="3" s="1"/>
  <c r="C274" i="3"/>
  <c r="E275" i="3"/>
  <c r="C275" i="3" s="1"/>
  <c r="F268" i="3"/>
  <c r="H243" i="3"/>
  <c r="H232" i="3"/>
  <c r="H241" i="3" s="1"/>
  <c r="H262" i="3" s="1"/>
  <c r="H245" i="3"/>
  <c r="D246" i="3"/>
  <c r="D247" i="3" s="1"/>
  <c r="D263" i="3" s="1"/>
  <c r="D254" i="3"/>
  <c r="D265" i="3" s="1"/>
  <c r="D250" i="3"/>
  <c r="D264" i="3" s="1"/>
  <c r="D245" i="3"/>
  <c r="D241" i="3"/>
  <c r="D262" i="3" s="1"/>
  <c r="D238" i="3"/>
  <c r="D234" i="3"/>
  <c r="D235" i="3" s="1"/>
  <c r="D261" i="3" s="1"/>
  <c r="G256" i="3" l="1"/>
  <c r="G257" i="3" s="1"/>
  <c r="G247" i="3"/>
  <c r="G263" i="3" s="1"/>
  <c r="G254" i="3"/>
  <c r="G265" i="3" s="1"/>
  <c r="G251" i="3"/>
  <c r="G241" i="3"/>
  <c r="G262" i="3" s="1"/>
  <c r="G250" i="3"/>
  <c r="G264" i="3" s="1"/>
  <c r="G234" i="3"/>
  <c r="G235" i="3" s="1"/>
  <c r="G261" i="3" s="1"/>
  <c r="C278" i="3"/>
  <c r="F277" i="3" s="1"/>
  <c r="G276" i="3"/>
  <c r="G277" i="3"/>
  <c r="G274" i="3"/>
  <c r="G278" i="3"/>
  <c r="G268" i="3"/>
  <c r="H250" i="3"/>
  <c r="H264" i="3" s="1"/>
  <c r="H251" i="3"/>
  <c r="H238" i="3"/>
  <c r="H254" i="3"/>
  <c r="H265" i="3" s="1"/>
  <c r="H234" i="3"/>
  <c r="H235" i="3" s="1"/>
  <c r="H261" i="3" s="1"/>
  <c r="H256" i="3"/>
  <c r="H257" i="3" s="1"/>
  <c r="D251" i="3"/>
  <c r="H247" i="3"/>
  <c r="H263" i="3" s="1"/>
  <c r="D256" i="3"/>
  <c r="D257" i="3" s="1"/>
  <c r="D260" i="3"/>
  <c r="C4" i="7"/>
  <c r="N3" i="7"/>
  <c r="M3" i="7"/>
  <c r="L3" i="7"/>
  <c r="K3" i="7"/>
  <c r="J3" i="7"/>
  <c r="I3" i="7"/>
  <c r="F6" i="7" l="1"/>
  <c r="M10" i="7" s="1"/>
  <c r="D6" i="7"/>
  <c r="K10" i="7" s="1"/>
  <c r="E6" i="7"/>
  <c r="L10" i="7" s="1"/>
  <c r="H260" i="3"/>
  <c r="G260" i="3"/>
  <c r="F278" i="3"/>
  <c r="F276" i="3"/>
  <c r="F274" i="3"/>
  <c r="F275" i="3"/>
  <c r="E234" i="3"/>
  <c r="E250" i="3"/>
  <c r="E264" i="3" s="1"/>
  <c r="E245" i="3"/>
  <c r="E251" i="3" s="1"/>
  <c r="E247" i="3"/>
  <c r="E263" i="3" s="1"/>
  <c r="F250" i="3"/>
  <c r="F264" i="3" s="1"/>
  <c r="B265" i="3"/>
  <c r="B264" i="3"/>
  <c r="B263" i="3"/>
  <c r="B262" i="3"/>
  <c r="B261" i="3"/>
  <c r="F238" i="3"/>
  <c r="F245" i="3"/>
  <c r="F234" i="3"/>
  <c r="F235" i="3" s="1"/>
  <c r="F261" i="3" s="1"/>
  <c r="E254" i="3"/>
  <c r="E265" i="3" s="1"/>
  <c r="F254" i="3"/>
  <c r="F265" i="3" s="1"/>
  <c r="F247" i="3"/>
  <c r="F263" i="3" s="1"/>
  <c r="E241" i="3"/>
  <c r="E262" i="3" s="1"/>
  <c r="F241" i="3"/>
  <c r="F262" i="3" s="1"/>
  <c r="C253" i="3"/>
  <c r="C240" i="3"/>
  <c r="C237" i="3"/>
  <c r="E193" i="3"/>
  <c r="F193" i="3" s="1"/>
  <c r="G193" i="3" s="1"/>
  <c r="H193" i="3" s="1"/>
  <c r="I193" i="3" s="1"/>
  <c r="J193" i="3" s="1"/>
  <c r="K193" i="3" s="1"/>
  <c r="L193" i="3" s="1"/>
  <c r="M193" i="3" s="1"/>
  <c r="N193" i="3" s="1"/>
  <c r="O193" i="3" s="1"/>
  <c r="E256" i="3" l="1"/>
  <c r="E257" i="3" s="1"/>
  <c r="F260" i="3"/>
  <c r="F256" i="3"/>
  <c r="F257" i="3" s="1"/>
  <c r="E235" i="3"/>
  <c r="E261" i="3" s="1"/>
  <c r="E260" i="3" s="1"/>
  <c r="E238" i="3"/>
  <c r="F251" i="3"/>
  <c r="C245" i="3"/>
  <c r="F181" i="3"/>
  <c r="F180" i="3"/>
  <c r="F179" i="3"/>
  <c r="F178" i="3"/>
  <c r="C183" i="3" l="1"/>
  <c r="D183" i="3"/>
  <c r="F182" i="3"/>
  <c r="C95" i="3" l="1"/>
  <c r="C94" i="3"/>
  <c r="E150" i="3" l="1"/>
  <c r="B125" i="3"/>
  <c r="B124" i="3"/>
  <c r="B123" i="3"/>
  <c r="B122" i="3"/>
  <c r="D119" i="3"/>
  <c r="D118" i="3"/>
  <c r="D117" i="3"/>
  <c r="E117" i="3"/>
  <c r="E149" i="3" s="1"/>
  <c r="F118" i="3"/>
  <c r="E118" i="3"/>
  <c r="G82" i="2"/>
  <c r="D80" i="2"/>
  <c r="E80" i="2"/>
  <c r="E82" i="2" l="1"/>
  <c r="E23" i="5"/>
  <c r="C182" i="3"/>
  <c r="H139" i="4"/>
  <c r="H140" i="4" s="1"/>
  <c r="H229" i="4" s="1"/>
  <c r="H234" i="4" s="1"/>
  <c r="H241" i="4" s="1"/>
  <c r="I139" i="4"/>
  <c r="I140" i="4" s="1"/>
  <c r="I229" i="4" s="1"/>
  <c r="I234" i="4" s="1"/>
  <c r="I241" i="4" s="1"/>
  <c r="J139" i="4"/>
  <c r="J140" i="4" s="1"/>
  <c r="J229" i="4" s="1"/>
  <c r="J234" i="4" s="1"/>
  <c r="J241" i="4" s="1"/>
  <c r="K140" i="4"/>
  <c r="K121" i="4"/>
  <c r="G121" i="4"/>
  <c r="AO3" i="4"/>
  <c r="K50" i="4"/>
  <c r="K53" i="4"/>
  <c r="E110" i="3"/>
  <c r="G110" i="3" s="1"/>
  <c r="C111" i="3"/>
  <c r="D111" i="3"/>
  <c r="F111" i="3" s="1"/>
  <c r="K143" i="4" l="1"/>
  <c r="K229" i="4"/>
  <c r="K52" i="4"/>
  <c r="K144" i="4"/>
  <c r="K147" i="4" s="1"/>
  <c r="K51" i="4"/>
  <c r="E95" i="3"/>
  <c r="C99" i="3" s="1"/>
  <c r="E94" i="3"/>
  <c r="C100" i="3" s="1"/>
  <c r="K234" i="4" l="1"/>
  <c r="K241" i="4" s="1"/>
  <c r="AS144" i="4"/>
  <c r="K148" i="4"/>
  <c r="K145" i="4"/>
  <c r="C37" i="6" l="1"/>
  <c r="C8" i="6"/>
  <c r="C26" i="6"/>
  <c r="D26" i="6"/>
  <c r="E26" i="6"/>
  <c r="F26" i="6"/>
  <c r="G26" i="6"/>
  <c r="G25" i="6"/>
  <c r="F25" i="6"/>
  <c r="E25" i="6"/>
  <c r="D25" i="6"/>
  <c r="C25" i="6"/>
  <c r="G24" i="6"/>
  <c r="F24" i="6"/>
  <c r="E24" i="6"/>
  <c r="D24" i="6"/>
  <c r="C24" i="6"/>
  <c r="G23" i="6"/>
  <c r="F23" i="6"/>
  <c r="E23" i="6"/>
  <c r="D23" i="6"/>
  <c r="C23" i="6"/>
  <c r="B26" i="6"/>
  <c r="B25" i="6"/>
  <c r="B24" i="6"/>
  <c r="B23" i="6"/>
  <c r="A16" i="6"/>
  <c r="A15" i="6"/>
  <c r="A14" i="6"/>
  <c r="A13" i="6"/>
  <c r="G45" i="6"/>
  <c r="F45" i="6"/>
  <c r="E45" i="6"/>
  <c r="D45" i="6"/>
  <c r="C45" i="6"/>
  <c r="G44" i="6"/>
  <c r="F44" i="6"/>
  <c r="E44" i="6"/>
  <c r="D44" i="6"/>
  <c r="C44" i="6"/>
  <c r="G43" i="6"/>
  <c r="F43" i="6"/>
  <c r="E43" i="6"/>
  <c r="D43" i="6"/>
  <c r="C43" i="6"/>
  <c r="D42" i="6"/>
  <c r="E42" i="6" s="1"/>
  <c r="F42" i="6" s="1"/>
  <c r="G42" i="6" s="1"/>
  <c r="D31" i="6"/>
  <c r="E31" i="6" s="1"/>
  <c r="F31" i="6" s="1"/>
  <c r="G31" i="6" s="1"/>
  <c r="D12" i="6"/>
  <c r="E12" i="6" s="1"/>
  <c r="F12" i="6" s="1"/>
  <c r="G12" i="6" s="1"/>
  <c r="D2" i="6"/>
  <c r="D67" i="2"/>
  <c r="E39" i="7"/>
  <c r="C67" i="2" l="1"/>
  <c r="C70" i="2" s="1"/>
  <c r="C39" i="7"/>
  <c r="C9" i="6"/>
  <c r="E2" i="6"/>
  <c r="C56" i="6"/>
  <c r="D70" i="2"/>
  <c r="C38" i="6"/>
  <c r="C27" i="6"/>
  <c r="G27" i="6"/>
  <c r="D27" i="6"/>
  <c r="E27" i="6"/>
  <c r="F27" i="6"/>
  <c r="A25" i="6"/>
  <c r="A34" i="6" s="1"/>
  <c r="A45" i="6" s="1"/>
  <c r="A24" i="6"/>
  <c r="A33" i="6" s="1"/>
  <c r="A44" i="6" s="1"/>
  <c r="A23" i="6"/>
  <c r="A32" i="6" s="1"/>
  <c r="A43" i="6" s="1"/>
  <c r="A26" i="6"/>
  <c r="A35" i="6" s="1"/>
  <c r="A46" i="6" s="1"/>
  <c r="E24" i="2"/>
  <c r="F24" i="2" s="1"/>
  <c r="D88" i="2"/>
  <c r="AO35" i="4"/>
  <c r="AN35" i="4"/>
  <c r="AM35" i="4"/>
  <c r="AL35" i="4"/>
  <c r="AK35" i="4"/>
  <c r="AO2" i="4"/>
  <c r="AN2" i="4"/>
  <c r="AM2" i="4"/>
  <c r="AL2" i="4"/>
  <c r="AK2" i="4"/>
  <c r="G63" i="4"/>
  <c r="K63" i="4"/>
  <c r="E70" i="2"/>
  <c r="D48" i="2"/>
  <c r="D72" i="2" s="1"/>
  <c r="G21" i="3"/>
  <c r="G22" i="3" s="1"/>
  <c r="C18" i="3"/>
  <c r="F18" i="3" s="1"/>
  <c r="C17" i="3"/>
  <c r="F17" i="3" s="1"/>
  <c r="C16" i="3"/>
  <c r="F16" i="3" s="1"/>
  <c r="C15" i="3"/>
  <c r="F15" i="3" s="1"/>
  <c r="C14" i="3"/>
  <c r="F14" i="3" s="1"/>
  <c r="K65" i="4" l="1"/>
  <c r="G65" i="4"/>
  <c r="C399" i="3" s="1"/>
  <c r="G399" i="3"/>
  <c r="F39" i="7"/>
  <c r="K150" i="4"/>
  <c r="D182" i="3" s="1"/>
  <c r="C73" i="6"/>
  <c r="C65" i="6"/>
  <c r="F2" i="6"/>
  <c r="D56" i="6"/>
  <c r="G150" i="4"/>
  <c r="H67" i="2"/>
  <c r="E73" i="2"/>
  <c r="E119" i="3"/>
  <c r="AO63" i="4"/>
  <c r="M9" i="3"/>
  <c r="E49" i="2"/>
  <c r="E80" i="6" l="1"/>
  <c r="G39" i="7"/>
  <c r="C171" i="3"/>
  <c r="I67" i="2"/>
  <c r="D73" i="6"/>
  <c r="D65" i="6"/>
  <c r="G2" i="6"/>
  <c r="F56" i="6" s="1"/>
  <c r="E56" i="6"/>
  <c r="E74" i="2"/>
  <c r="E76" i="2" s="1"/>
  <c r="E128" i="3" s="1"/>
  <c r="G24" i="2"/>
  <c r="F119" i="3"/>
  <c r="E84" i="6" l="1"/>
  <c r="J67" i="2"/>
  <c r="H39" i="7"/>
  <c r="F65" i="6"/>
  <c r="F73" i="6"/>
  <c r="E65" i="6"/>
  <c r="E73" i="6"/>
  <c r="H24" i="2"/>
  <c r="G119" i="3"/>
  <c r="I39" i="7" l="1"/>
  <c r="N22" i="7"/>
  <c r="E81" i="6"/>
  <c r="K67" i="2"/>
  <c r="J39" i="7" s="1"/>
  <c r="I24" i="2"/>
  <c r="H119" i="3"/>
  <c r="L67" i="2" l="1"/>
  <c r="K39" i="7" s="1"/>
  <c r="E82" i="6"/>
  <c r="E83" i="6" s="1"/>
  <c r="J24" i="2"/>
  <c r="I119" i="3"/>
  <c r="M67" i="2" l="1"/>
  <c r="L39" i="7" s="1"/>
  <c r="K24" i="2"/>
  <c r="J119" i="3"/>
  <c r="E951" i="3" l="1"/>
  <c r="O951" i="3" s="1"/>
  <c r="J967" i="3"/>
  <c r="Z36" i="4"/>
  <c r="Z59" i="4" s="1"/>
  <c r="BC79" i="4" s="1"/>
  <c r="Z46" i="4"/>
  <c r="I730" i="3"/>
  <c r="E962" i="3"/>
  <c r="F5" i="11"/>
  <c r="N67" i="2"/>
  <c r="M39" i="7" s="1"/>
  <c r="L24" i="2"/>
  <c r="K119" i="3"/>
  <c r="O871" i="3" l="1"/>
  <c r="J1084" i="3"/>
  <c r="Z63" i="4"/>
  <c r="Z65" i="4" s="1"/>
  <c r="Z124" i="4"/>
  <c r="F12" i="11" s="1"/>
  <c r="Z95" i="4"/>
  <c r="E952" i="3"/>
  <c r="O952" i="3" s="1"/>
  <c r="J968" i="3"/>
  <c r="Z93" i="4"/>
  <c r="J1098" i="3" s="1"/>
  <c r="F11" i="11"/>
  <c r="O962" i="3"/>
  <c r="E963" i="3"/>
  <c r="O963" i="3" s="1"/>
  <c r="I729" i="3"/>
  <c r="I731" i="3"/>
  <c r="Z150" i="4"/>
  <c r="O67" i="2"/>
  <c r="N39" i="7" s="1"/>
  <c r="M24" i="2"/>
  <c r="L119" i="3"/>
  <c r="E953" i="3" l="1"/>
  <c r="J1085" i="3"/>
  <c r="BC63" i="4"/>
  <c r="E954" i="3"/>
  <c r="E955" i="3" s="1"/>
  <c r="Z127" i="4"/>
  <c r="Z129" i="4" s="1"/>
  <c r="Z108" i="4"/>
  <c r="Z109" i="4" s="1"/>
  <c r="Z125" i="4"/>
  <c r="F13" i="11"/>
  <c r="BC124" i="4"/>
  <c r="J976" i="3"/>
  <c r="J969" i="3"/>
  <c r="N24" i="2"/>
  <c r="M119" i="3"/>
  <c r="O954" i="3" l="1"/>
  <c r="Z140" i="4"/>
  <c r="Z142" i="4" s="1"/>
  <c r="Z144" i="4" s="1"/>
  <c r="F14" i="11" s="1"/>
  <c r="O24" i="2"/>
  <c r="O119" i="3" s="1"/>
  <c r="N119" i="3"/>
  <c r="I289" i="2"/>
  <c r="J289" i="2" s="1"/>
  <c r="K289" i="2" s="1"/>
  <c r="L289" i="2" s="1"/>
  <c r="M289" i="2" s="1"/>
  <c r="N289" i="2" s="1"/>
  <c r="O289" i="2" s="1"/>
  <c r="D288" i="2"/>
  <c r="E288" i="2"/>
  <c r="E18" i="5"/>
  <c r="E8" i="5"/>
  <c r="D47" i="7" s="1"/>
  <c r="F5" i="5"/>
  <c r="G4" i="5"/>
  <c r="H4" i="5" s="1"/>
  <c r="I4" i="5" s="1"/>
  <c r="J4" i="5" s="1"/>
  <c r="K4" i="5" s="1"/>
  <c r="L4" i="5" s="1"/>
  <c r="M4" i="5" s="1"/>
  <c r="N4" i="5" s="1"/>
  <c r="O4" i="5" s="1"/>
  <c r="O280" i="2"/>
  <c r="N280" i="2"/>
  <c r="M280" i="2"/>
  <c r="L280" i="2"/>
  <c r="K280" i="2"/>
  <c r="J280" i="2"/>
  <c r="I280" i="2"/>
  <c r="H280" i="2"/>
  <c r="G280" i="2"/>
  <c r="E253" i="2"/>
  <c r="E956" i="3" l="1"/>
  <c r="O956" i="3" s="1"/>
  <c r="C45" i="5"/>
  <c r="E45" i="7"/>
  <c r="F6" i="5"/>
  <c r="G5" i="5" l="1"/>
  <c r="F45" i="7" l="1"/>
  <c r="H5" i="5"/>
  <c r="G6" i="5"/>
  <c r="H254" i="2" l="1"/>
  <c r="G45" i="7"/>
  <c r="H6" i="5"/>
  <c r="I242" i="2"/>
  <c r="J242" i="2"/>
  <c r="K242" i="2" l="1"/>
  <c r="L242" i="2" l="1"/>
  <c r="M242" i="2" l="1"/>
  <c r="N242" i="2" l="1"/>
  <c r="O242" i="2" l="1"/>
  <c r="E250" i="2" l="1"/>
  <c r="E243" i="2" s="1"/>
  <c r="E5" i="5" s="1"/>
  <c r="D45" i="7" s="1"/>
  <c r="I302" i="2"/>
  <c r="J302" i="2" s="1"/>
  <c r="K302" i="2" s="1"/>
  <c r="L302" i="2" s="1"/>
  <c r="M302" i="2" s="1"/>
  <c r="N302" i="2" s="1"/>
  <c r="O302" i="2" s="1"/>
  <c r="G278" i="2"/>
  <c r="H278" i="2" s="1"/>
  <c r="I278" i="2" s="1"/>
  <c r="J278" i="2" s="1"/>
  <c r="K278" i="2" s="1"/>
  <c r="L278" i="2" s="1"/>
  <c r="M278" i="2" s="1"/>
  <c r="N278" i="2" s="1"/>
  <c r="O278" i="2" s="1"/>
  <c r="E274" i="2"/>
  <c r="E6" i="5" l="1"/>
  <c r="G277" i="2"/>
  <c r="F8" i="5"/>
  <c r="E47" i="7" s="1"/>
  <c r="E271" i="2"/>
  <c r="D271" i="2"/>
  <c r="E265" i="2"/>
  <c r="D265" i="2"/>
  <c r="E263" i="2"/>
  <c r="D263" i="2"/>
  <c r="D306" i="2"/>
  <c r="E306" i="2"/>
  <c r="C6" i="7" l="1"/>
  <c r="J10" i="7" s="1"/>
  <c r="H277" i="2"/>
  <c r="G8" i="5"/>
  <c r="F47" i="7" s="1"/>
  <c r="E299" i="2"/>
  <c r="D299" i="2"/>
  <c r="D294" i="2"/>
  <c r="E294" i="2"/>
  <c r="E307" i="2" s="1"/>
  <c r="D309" i="2"/>
  <c r="E309" i="2"/>
  <c r="D227" i="2"/>
  <c r="E227" i="2"/>
  <c r="C246" i="3" s="1"/>
  <c r="G221" i="2"/>
  <c r="D216" i="2"/>
  <c r="E216" i="2"/>
  <c r="D221" i="2"/>
  <c r="E221" i="2"/>
  <c r="G60" i="4"/>
  <c r="K60" i="4"/>
  <c r="D307" i="2" l="1"/>
  <c r="C44" i="7"/>
  <c r="D44" i="7"/>
  <c r="E7" i="5"/>
  <c r="C251" i="3"/>
  <c r="C256" i="3"/>
  <c r="I277" i="2"/>
  <c r="H8" i="5"/>
  <c r="G47" i="7" s="1"/>
  <c r="D230" i="2"/>
  <c r="D232" i="2" s="1"/>
  <c r="D270" i="2"/>
  <c r="E230" i="2"/>
  <c r="E270" i="2"/>
  <c r="E273" i="2"/>
  <c r="E275" i="2" s="1"/>
  <c r="E220" i="2"/>
  <c r="D220" i="2"/>
  <c r="E10" i="2"/>
  <c r="F10" i="2" s="1"/>
  <c r="F16" i="2" s="1"/>
  <c r="G56" i="2"/>
  <c r="H56" i="2" s="1"/>
  <c r="I56" i="2" s="1"/>
  <c r="J56" i="2" s="1"/>
  <c r="K56" i="2" s="1"/>
  <c r="L56" i="2" s="1"/>
  <c r="M56" i="2" s="1"/>
  <c r="N56" i="2" s="1"/>
  <c r="O56" i="2" s="1"/>
  <c r="E94" i="2"/>
  <c r="D94" i="2"/>
  <c r="D283" i="2" s="1"/>
  <c r="D55" i="2"/>
  <c r="D57" i="2" s="1"/>
  <c r="D187" i="2"/>
  <c r="D189" i="2"/>
  <c r="E189" i="2"/>
  <c r="G140" i="4"/>
  <c r="G125" i="4"/>
  <c r="K93" i="4"/>
  <c r="G401" i="3" s="1"/>
  <c r="J93" i="4"/>
  <c r="F401" i="3" s="1"/>
  <c r="I93" i="4"/>
  <c r="E401" i="3" s="1"/>
  <c r="H93" i="4"/>
  <c r="D401" i="3" s="1"/>
  <c r="G93" i="4"/>
  <c r="C401" i="3" s="1"/>
  <c r="F93" i="4"/>
  <c r="E93" i="4"/>
  <c r="D93" i="4"/>
  <c r="C93" i="4"/>
  <c r="K55" i="4"/>
  <c r="J55" i="4"/>
  <c r="I55" i="4"/>
  <c r="H55" i="4"/>
  <c r="G55" i="4"/>
  <c r="F55" i="4"/>
  <c r="E55" i="4"/>
  <c r="D55" i="4"/>
  <c r="C55" i="4"/>
  <c r="F62" i="2" l="1"/>
  <c r="F17" i="2"/>
  <c r="F23" i="2"/>
  <c r="F63" i="2" s="1"/>
  <c r="H57" i="4"/>
  <c r="AL55" i="4"/>
  <c r="AP55" i="4"/>
  <c r="G57" i="4"/>
  <c r="AK55" i="4"/>
  <c r="I57" i="4"/>
  <c r="AM55" i="4"/>
  <c r="AQ55" i="4"/>
  <c r="J57" i="4"/>
  <c r="AN55" i="4"/>
  <c r="AR55" i="4"/>
  <c r="AO55" i="4"/>
  <c r="AS55" i="4"/>
  <c r="K57" i="4"/>
  <c r="K98" i="4"/>
  <c r="L98" i="4"/>
  <c r="E56" i="4"/>
  <c r="F56" i="4"/>
  <c r="I56" i="4"/>
  <c r="H56" i="4"/>
  <c r="J56" i="4"/>
  <c r="C56" i="4"/>
  <c r="D56" i="4"/>
  <c r="G61" i="4"/>
  <c r="G56" i="4"/>
  <c r="K61" i="4"/>
  <c r="K56" i="4"/>
  <c r="G144" i="4"/>
  <c r="G229" i="4"/>
  <c r="E19" i="5"/>
  <c r="E21" i="5" s="1"/>
  <c r="D46" i="7"/>
  <c r="C402" i="3"/>
  <c r="E283" i="2"/>
  <c r="E240" i="2"/>
  <c r="E9" i="5"/>
  <c r="E232" i="2"/>
  <c r="E28" i="5" s="1"/>
  <c r="E29" i="5" s="1"/>
  <c r="E24" i="5"/>
  <c r="E25" i="5" s="1"/>
  <c r="G143" i="4"/>
  <c r="J59" i="4"/>
  <c r="F59" i="4"/>
  <c r="G52" i="2"/>
  <c r="H52" i="2" s="1"/>
  <c r="J277" i="2"/>
  <c r="I8" i="5"/>
  <c r="H47" i="7" s="1"/>
  <c r="E234" i="2"/>
  <c r="D234" i="2"/>
  <c r="C37" i="7" s="1"/>
  <c r="E281" i="2"/>
  <c r="G10" i="2"/>
  <c r="H10" i="2" s="1"/>
  <c r="I10" i="2" s="1"/>
  <c r="J10" i="2" s="1"/>
  <c r="K10" i="2" s="1"/>
  <c r="L10" i="2" s="1"/>
  <c r="M10" i="2" s="1"/>
  <c r="N10" i="2" s="1"/>
  <c r="O10" i="2" s="1"/>
  <c r="F29" i="2" l="1"/>
  <c r="AO144" i="4"/>
  <c r="G147" i="4"/>
  <c r="G148" i="4" s="1"/>
  <c r="G145" i="4"/>
  <c r="G234" i="4"/>
  <c r="E237" i="2"/>
  <c r="D37" i="7"/>
  <c r="D237" i="2"/>
  <c r="E11" i="5"/>
  <c r="L59" i="4"/>
  <c r="N61" i="4"/>
  <c r="E15" i="5"/>
  <c r="E16" i="5"/>
  <c r="E31" i="5"/>
  <c r="E59" i="4"/>
  <c r="E63" i="4" s="1"/>
  <c r="F63" i="4"/>
  <c r="I59" i="4"/>
  <c r="J63" i="4"/>
  <c r="K277" i="2"/>
  <c r="J8" i="5"/>
  <c r="I47" i="7" s="1"/>
  <c r="G270" i="2"/>
  <c r="C14" i="7" s="1"/>
  <c r="I52" i="2"/>
  <c r="G241" i="4" l="1"/>
  <c r="M59" i="4"/>
  <c r="M60" i="4" s="1"/>
  <c r="J65" i="4"/>
  <c r="F399" i="3" s="1"/>
  <c r="L63" i="4"/>
  <c r="AN63" i="4"/>
  <c r="H59" i="4"/>
  <c r="H63" i="4" s="1"/>
  <c r="E894" i="3" s="1"/>
  <c r="E896" i="3" s="1"/>
  <c r="I63" i="4"/>
  <c r="F894" i="3" s="1"/>
  <c r="F896" i="3" s="1"/>
  <c r="D59" i="4"/>
  <c r="L277" i="2"/>
  <c r="K8" i="5"/>
  <c r="J47" i="7" s="1"/>
  <c r="I246" i="3"/>
  <c r="H270" i="2"/>
  <c r="D14" i="7" s="1"/>
  <c r="J52" i="2"/>
  <c r="G894" i="3" l="1"/>
  <c r="G896" i="3" s="1"/>
  <c r="M63" i="4"/>
  <c r="N59" i="4"/>
  <c r="N60" i="4" s="1"/>
  <c r="L150" i="4"/>
  <c r="L65" i="4"/>
  <c r="H65" i="4"/>
  <c r="D399" i="3" s="1"/>
  <c r="I65" i="4"/>
  <c r="E399" i="3" s="1"/>
  <c r="AP63" i="4"/>
  <c r="AM63" i="4"/>
  <c r="C59" i="4"/>
  <c r="C63" i="4" s="1"/>
  <c r="D63" i="4"/>
  <c r="M277" i="2"/>
  <c r="L8" i="5"/>
  <c r="K47" i="7" s="1"/>
  <c r="I270" i="2"/>
  <c r="E14" i="7" s="1"/>
  <c r="K52" i="2"/>
  <c r="AL63" i="4" l="1"/>
  <c r="D894" i="3"/>
  <c r="D896" i="3" s="1"/>
  <c r="AK63" i="4"/>
  <c r="C894" i="3"/>
  <c r="C896" i="3" s="1"/>
  <c r="N63" i="4"/>
  <c r="H894" i="3" s="1"/>
  <c r="H896" i="3" s="1"/>
  <c r="M150" i="4"/>
  <c r="AQ63" i="4"/>
  <c r="M65" i="4"/>
  <c r="I399" i="3" s="1"/>
  <c r="O59" i="4"/>
  <c r="O63" i="4" s="1"/>
  <c r="H399" i="3"/>
  <c r="N277" i="2"/>
  <c r="M8" i="5"/>
  <c r="L47" i="7" s="1"/>
  <c r="J270" i="2"/>
  <c r="F14" i="7" s="1"/>
  <c r="L52" i="2"/>
  <c r="D564" i="3" l="1"/>
  <c r="AW63" i="4"/>
  <c r="AR63" i="4"/>
  <c r="N150" i="4"/>
  <c r="N65" i="4"/>
  <c r="O60" i="4"/>
  <c r="P59" i="4"/>
  <c r="O150" i="4"/>
  <c r="AS63" i="4"/>
  <c r="O65" i="4"/>
  <c r="O277" i="2"/>
  <c r="O8" i="5" s="1"/>
  <c r="N47" i="7" s="1"/>
  <c r="N8" i="5"/>
  <c r="M47" i="7" s="1"/>
  <c r="K270" i="2"/>
  <c r="M52" i="2"/>
  <c r="P63" i="4" l="1"/>
  <c r="I894" i="3" s="1"/>
  <c r="I896" i="3" s="1"/>
  <c r="P60" i="4"/>
  <c r="R59" i="4"/>
  <c r="R60" i="4" s="1"/>
  <c r="L270" i="2"/>
  <c r="N52" i="2"/>
  <c r="E564" i="3" l="1"/>
  <c r="AT63" i="4"/>
  <c r="AX63" i="4"/>
  <c r="P150" i="4"/>
  <c r="P65" i="4"/>
  <c r="Q63" i="4"/>
  <c r="Q60" i="4"/>
  <c r="R63" i="4"/>
  <c r="AZ63" i="4" s="1"/>
  <c r="M270" i="2"/>
  <c r="O52" i="2"/>
  <c r="J894" i="3" l="1"/>
  <c r="J896" i="3" s="1"/>
  <c r="AY63" i="4"/>
  <c r="F564" i="3"/>
  <c r="AU63" i="4"/>
  <c r="G564" i="3"/>
  <c r="Q150" i="4"/>
  <c r="Q65" i="4"/>
  <c r="R150" i="4"/>
  <c r="R65" i="4"/>
  <c r="AV63" i="4"/>
  <c r="O270" i="2"/>
  <c r="N270" i="2"/>
  <c r="D25" i="3" l="1"/>
  <c r="E62" i="2" l="1"/>
  <c r="D24" i="3"/>
  <c r="D26" i="3" s="1"/>
  <c r="E25" i="2" s="1"/>
  <c r="C9" i="3"/>
  <c r="F9" i="3" s="1"/>
  <c r="C8" i="3"/>
  <c r="C7" i="3"/>
  <c r="C13" i="3"/>
  <c r="F13" i="3" s="1"/>
  <c r="C6" i="3"/>
  <c r="C12" i="3"/>
  <c r="C11" i="3"/>
  <c r="C5" i="3"/>
  <c r="C10" i="3"/>
  <c r="G20" i="3"/>
  <c r="D20" i="3"/>
  <c r="C4" i="3"/>
  <c r="E4" i="2"/>
  <c r="E6" i="2" s="1"/>
  <c r="E8" i="2" s="1"/>
  <c r="G13" i="2"/>
  <c r="E38" i="2"/>
  <c r="F38" i="2" s="1"/>
  <c r="E29" i="2"/>
  <c r="E20" i="3" s="1"/>
  <c r="D98" i="2"/>
  <c r="E98" i="2"/>
  <c r="E55" i="2"/>
  <c r="E59" i="2" s="1"/>
  <c r="C10" i="1"/>
  <c r="C11" i="1" s="1"/>
  <c r="F34" i="2" l="1"/>
  <c r="F40" i="2"/>
  <c r="F75" i="2"/>
  <c r="F178" i="2"/>
  <c r="N24" i="7" s="1"/>
  <c r="F99" i="2"/>
  <c r="F184" i="2"/>
  <c r="F181" i="2" s="1"/>
  <c r="F182" i="2" s="1"/>
  <c r="F83" i="2" s="1"/>
  <c r="F84" i="2" s="1"/>
  <c r="F80" i="2" s="1"/>
  <c r="F79" i="2" s="1"/>
  <c r="E95" i="2"/>
  <c r="D211" i="2"/>
  <c r="D87" i="2"/>
  <c r="E87" i="2"/>
  <c r="E211" i="2"/>
  <c r="E99" i="2"/>
  <c r="D33" i="7"/>
  <c r="E238" i="2"/>
  <c r="D394" i="3" s="1"/>
  <c r="C33" i="7"/>
  <c r="D238" i="2"/>
  <c r="C394" i="3" s="1"/>
  <c r="D91" i="2"/>
  <c r="D194" i="3" s="1"/>
  <c r="D235" i="2"/>
  <c r="E235" i="2"/>
  <c r="C22" i="7"/>
  <c r="E191" i="2"/>
  <c r="E208" i="2" s="1"/>
  <c r="C229" i="3"/>
  <c r="E91" i="2"/>
  <c r="E194" i="3" s="1"/>
  <c r="G38" i="2"/>
  <c r="G118" i="3"/>
  <c r="H13" i="2"/>
  <c r="F117" i="3"/>
  <c r="F149" i="3" s="1"/>
  <c r="F122" i="3"/>
  <c r="E122" i="3"/>
  <c r="D289" i="2"/>
  <c r="E179" i="2"/>
  <c r="E184" i="2"/>
  <c r="C18" i="6"/>
  <c r="C21" i="3"/>
  <c r="C22" i="3" s="1"/>
  <c r="E27" i="2"/>
  <c r="E75" i="2"/>
  <c r="E40" i="2"/>
  <c r="C86" i="3"/>
  <c r="E57" i="2"/>
  <c r="E63" i="2"/>
  <c r="E53" i="2"/>
  <c r="H9" i="3"/>
  <c r="H4" i="3"/>
  <c r="F4" i="3"/>
  <c r="H11" i="3"/>
  <c r="F11" i="3"/>
  <c r="H7" i="3"/>
  <c r="F7" i="3"/>
  <c r="C24" i="3"/>
  <c r="C26" i="3" s="1"/>
  <c r="E19" i="2" s="1"/>
  <c r="E26" i="2" s="1"/>
  <c r="F26" i="2" s="1"/>
  <c r="L9" i="3"/>
  <c r="H12" i="3"/>
  <c r="F12" i="3"/>
  <c r="H8" i="3"/>
  <c r="F8" i="3"/>
  <c r="H5" i="3"/>
  <c r="F5" i="3"/>
  <c r="H10" i="3"/>
  <c r="F10" i="3"/>
  <c r="H6" i="3"/>
  <c r="F6" i="3"/>
  <c r="E289" i="2"/>
  <c r="E12" i="5"/>
  <c r="E297" i="2"/>
  <c r="D297" i="2"/>
  <c r="D97" i="2"/>
  <c r="D224" i="2"/>
  <c r="C392" i="3" s="1"/>
  <c r="E224" i="2"/>
  <c r="D392" i="3" s="1"/>
  <c r="G16" i="2"/>
  <c r="G2" i="2"/>
  <c r="E195" i="2"/>
  <c r="E198" i="2" s="1"/>
  <c r="D195" i="2"/>
  <c r="D191" i="2"/>
  <c r="C20" i="3"/>
  <c r="E36" i="2"/>
  <c r="D10" i="1"/>
  <c r="D11" i="1" s="1"/>
  <c r="G25" i="1"/>
  <c r="D27" i="1"/>
  <c r="D28" i="1" s="1"/>
  <c r="D24" i="1"/>
  <c r="D17" i="1"/>
  <c r="C17" i="1"/>
  <c r="B16" i="1"/>
  <c r="B17" i="1"/>
  <c r="B15" i="1"/>
  <c r="B14" i="1"/>
  <c r="C8" i="1"/>
  <c r="D8" i="1"/>
  <c r="E196" i="2" l="1"/>
  <c r="F196" i="2"/>
  <c r="F35" i="2"/>
  <c r="F76" i="2"/>
  <c r="C362" i="3"/>
  <c r="C59" i="6"/>
  <c r="C68" i="6" s="1"/>
  <c r="E268" i="2"/>
  <c r="E225" i="2"/>
  <c r="C35" i="7"/>
  <c r="D225" i="2"/>
  <c r="D268" i="2"/>
  <c r="D34" i="7"/>
  <c r="F192" i="2"/>
  <c r="E88" i="2"/>
  <c r="E187" i="2"/>
  <c r="G17" i="2"/>
  <c r="G62" i="2"/>
  <c r="D236" i="2"/>
  <c r="C34" i="7"/>
  <c r="E14" i="5"/>
  <c r="D35" i="7"/>
  <c r="C19" i="6"/>
  <c r="D92" i="2"/>
  <c r="D195" i="3" s="1"/>
  <c r="C232" i="3"/>
  <c r="C268" i="3" s="1"/>
  <c r="C217" i="3"/>
  <c r="C220" i="3" s="1"/>
  <c r="C223" i="3" s="1"/>
  <c r="L8" i="3"/>
  <c r="L10" i="3" s="1"/>
  <c r="E92" i="2"/>
  <c r="E195" i="3" s="1"/>
  <c r="E236" i="2"/>
  <c r="C90" i="3"/>
  <c r="E127" i="3"/>
  <c r="M8" i="3"/>
  <c r="G263" i="2"/>
  <c r="G117" i="3"/>
  <c r="G149" i="3" s="1"/>
  <c r="I13" i="2"/>
  <c r="I118" i="3" s="1"/>
  <c r="H118" i="3"/>
  <c r="C87" i="3"/>
  <c r="E123" i="3"/>
  <c r="E181" i="2"/>
  <c r="E182" i="2" s="1"/>
  <c r="C48" i="6"/>
  <c r="C28" i="6"/>
  <c r="G23" i="2"/>
  <c r="G29" i="2" s="1"/>
  <c r="G26" i="2"/>
  <c r="H38" i="2"/>
  <c r="G40" i="2"/>
  <c r="E13" i="5"/>
  <c r="E65" i="2"/>
  <c r="E21" i="2"/>
  <c r="E31" i="2" s="1"/>
  <c r="E20" i="2"/>
  <c r="F20" i="2" s="1"/>
  <c r="F19" i="2" s="1"/>
  <c r="E60" i="2"/>
  <c r="E64" i="2"/>
  <c r="E30" i="2"/>
  <c r="F20" i="3"/>
  <c r="E192" i="2"/>
  <c r="E197" i="2"/>
  <c r="E204" i="2"/>
  <c r="E205" i="2" s="1"/>
  <c r="D197" i="2"/>
  <c r="D204" i="2"/>
  <c r="H16" i="2"/>
  <c r="H2" i="2"/>
  <c r="G94" i="2"/>
  <c r="G101" i="2" s="1"/>
  <c r="H20" i="3"/>
  <c r="D203" i="2" l="1"/>
  <c r="D205" i="2"/>
  <c r="H184" i="2"/>
  <c r="H181" i="2" s="1"/>
  <c r="G122" i="3"/>
  <c r="E203" i="2"/>
  <c r="E207" i="2"/>
  <c r="I1082" i="1"/>
  <c r="C19" i="11"/>
  <c r="F37" i="2"/>
  <c r="F36" i="2"/>
  <c r="F25" i="2"/>
  <c r="F30" i="2" s="1"/>
  <c r="F21" i="2"/>
  <c r="F64" i="2"/>
  <c r="F124" i="3" s="1"/>
  <c r="H17" i="2"/>
  <c r="C444" i="3"/>
  <c r="O444" i="3" s="1"/>
  <c r="G34" i="2"/>
  <c r="G35" i="2" s="1"/>
  <c r="C359" i="3"/>
  <c r="C382" i="3" s="1"/>
  <c r="G283" i="2"/>
  <c r="G240" i="2"/>
  <c r="C250" i="3"/>
  <c r="C264" i="3" s="1"/>
  <c r="C254" i="3"/>
  <c r="C265" i="3" s="1"/>
  <c r="C238" i="3"/>
  <c r="C241" i="3"/>
  <c r="C262" i="3" s="1"/>
  <c r="C234" i="3"/>
  <c r="C235" i="3" s="1"/>
  <c r="C261" i="3" s="1"/>
  <c r="C247" i="3"/>
  <c r="C263" i="3" s="1"/>
  <c r="C257" i="3"/>
  <c r="C230" i="3"/>
  <c r="C231" i="3" s="1"/>
  <c r="C216" i="3"/>
  <c r="H263" i="2"/>
  <c r="H117" i="3"/>
  <c r="H149" i="3" s="1"/>
  <c r="C89" i="3"/>
  <c r="E125" i="3"/>
  <c r="C88" i="3"/>
  <c r="E124" i="3"/>
  <c r="F123" i="3"/>
  <c r="D8" i="6"/>
  <c r="H26" i="2"/>
  <c r="G20" i="2"/>
  <c r="H23" i="2"/>
  <c r="H29" i="2" s="1"/>
  <c r="I38" i="2"/>
  <c r="H40" i="2"/>
  <c r="G55" i="2"/>
  <c r="G49" i="2"/>
  <c r="G51" i="2"/>
  <c r="J13" i="2"/>
  <c r="J118" i="3" s="1"/>
  <c r="I16" i="2"/>
  <c r="I17" i="2" s="1"/>
  <c r="I2" i="2"/>
  <c r="H94" i="2"/>
  <c r="H101" i="2" s="1"/>
  <c r="H95" i="2" l="1"/>
  <c r="H159" i="2"/>
  <c r="H158" i="2"/>
  <c r="H34" i="2"/>
  <c r="H35" i="2" s="1"/>
  <c r="F27" i="2"/>
  <c r="F31" i="2" s="1"/>
  <c r="F65" i="2"/>
  <c r="H79" i="6"/>
  <c r="C442" i="3"/>
  <c r="F42" i="7"/>
  <c r="G70" i="2"/>
  <c r="E8" i="6"/>
  <c r="E9" i="6" s="1"/>
  <c r="D359" i="3"/>
  <c r="D382" i="3" s="1"/>
  <c r="H283" i="2"/>
  <c r="H240" i="2"/>
  <c r="D9" i="6"/>
  <c r="C57" i="6"/>
  <c r="C260" i="3"/>
  <c r="G36" i="2"/>
  <c r="G37" i="2"/>
  <c r="I263" i="2"/>
  <c r="I117" i="3"/>
  <c r="I149" i="3" s="1"/>
  <c r="G53" i="2"/>
  <c r="G59" i="2"/>
  <c r="G60" i="2" s="1"/>
  <c r="G63" i="2"/>
  <c r="G123" i="3" s="1"/>
  <c r="C30" i="11"/>
  <c r="H20" i="2"/>
  <c r="G19" i="2"/>
  <c r="G64" i="2" s="1"/>
  <c r="G124" i="3" s="1"/>
  <c r="I26" i="2"/>
  <c r="I23" i="2"/>
  <c r="I29" i="2" s="1"/>
  <c r="J38" i="2"/>
  <c r="I40" i="2"/>
  <c r="G57" i="2"/>
  <c r="F127" i="3"/>
  <c r="F128" i="3"/>
  <c r="K13" i="2"/>
  <c r="K118" i="3" s="1"/>
  <c r="J16" i="2"/>
  <c r="J17" i="2" s="1"/>
  <c r="J2" i="2"/>
  <c r="I94" i="2"/>
  <c r="I101" i="2" s="1"/>
  <c r="I34" i="2" l="1"/>
  <c r="I35" i="2" s="1"/>
  <c r="O442" i="3"/>
  <c r="F79" i="6"/>
  <c r="I79" i="6"/>
  <c r="C66" i="6"/>
  <c r="D442" i="3"/>
  <c r="G42" i="7"/>
  <c r="C446" i="3"/>
  <c r="O446" i="3" s="1"/>
  <c r="D57" i="6"/>
  <c r="D74" i="6" s="1"/>
  <c r="G73" i="2"/>
  <c r="G74" i="2"/>
  <c r="G76" i="2" s="1"/>
  <c r="G128" i="3" s="1"/>
  <c r="E359" i="3"/>
  <c r="E382" i="3" s="1"/>
  <c r="G75" i="2"/>
  <c r="G127" i="3" s="1"/>
  <c r="I283" i="2"/>
  <c r="I240" i="2"/>
  <c r="H37" i="2"/>
  <c r="J34" i="2"/>
  <c r="H36" i="2"/>
  <c r="J263" i="2"/>
  <c r="J117" i="3"/>
  <c r="J149" i="3" s="1"/>
  <c r="F8" i="6"/>
  <c r="H70" i="2"/>
  <c r="G21" i="2"/>
  <c r="G25" i="2"/>
  <c r="G27" i="2" s="1"/>
  <c r="J26" i="2"/>
  <c r="I20" i="2"/>
  <c r="H19" i="2"/>
  <c r="J23" i="2"/>
  <c r="J29" i="2" s="1"/>
  <c r="K38" i="2"/>
  <c r="J40" i="2"/>
  <c r="L13" i="2"/>
  <c r="L118" i="3" s="1"/>
  <c r="K16" i="2"/>
  <c r="K17" i="2" s="1"/>
  <c r="K2" i="2"/>
  <c r="J94" i="2"/>
  <c r="J101" i="2" s="1"/>
  <c r="P442" i="3" l="1"/>
  <c r="C4" i="11"/>
  <c r="J283" i="2"/>
  <c r="J240" i="2"/>
  <c r="F125" i="3"/>
  <c r="F9" i="6"/>
  <c r="E57" i="6"/>
  <c r="E74" i="6" s="1"/>
  <c r="I36" i="2"/>
  <c r="J35" i="2"/>
  <c r="I37" i="2"/>
  <c r="K34" i="2"/>
  <c r="K263" i="2"/>
  <c r="K117" i="3"/>
  <c r="K149" i="3" s="1"/>
  <c r="G65" i="2"/>
  <c r="G31" i="2"/>
  <c r="H21" i="2"/>
  <c r="H25" i="2"/>
  <c r="H27" i="2" s="1"/>
  <c r="J20" i="2"/>
  <c r="I19" i="2"/>
  <c r="K26" i="2"/>
  <c r="G30" i="2"/>
  <c r="K23" i="2"/>
  <c r="L38" i="2"/>
  <c r="K40" i="2"/>
  <c r="M13" i="2"/>
  <c r="M118" i="3" s="1"/>
  <c r="L16" i="2"/>
  <c r="L17" i="2" s="1"/>
  <c r="L2" i="2"/>
  <c r="K94" i="2"/>
  <c r="K101" i="2" s="1"/>
  <c r="K283" i="2" l="1"/>
  <c r="K240" i="2"/>
  <c r="G125" i="3"/>
  <c r="L34" i="2"/>
  <c r="J37" i="2"/>
  <c r="J36" i="2"/>
  <c r="K35" i="2"/>
  <c r="L263" i="2"/>
  <c r="L117" i="3"/>
  <c r="L149" i="3" s="1"/>
  <c r="I21" i="2"/>
  <c r="I25" i="2"/>
  <c r="I27" i="2" s="1"/>
  <c r="K20" i="2"/>
  <c r="J19" i="2"/>
  <c r="H31" i="2"/>
  <c r="L26" i="2"/>
  <c r="H30" i="2"/>
  <c r="K29" i="2"/>
  <c r="L23" i="2"/>
  <c r="L29" i="2" s="1"/>
  <c r="M38" i="2"/>
  <c r="L40" i="2"/>
  <c r="N13" i="2"/>
  <c r="N118" i="3" s="1"/>
  <c r="M16" i="2"/>
  <c r="M17" i="2" s="1"/>
  <c r="M2" i="2"/>
  <c r="L94" i="2"/>
  <c r="L101" i="2" s="1"/>
  <c r="M34" i="2" l="1"/>
  <c r="L283" i="2"/>
  <c r="L240" i="2"/>
  <c r="K37" i="2"/>
  <c r="K36" i="2"/>
  <c r="L35" i="2"/>
  <c r="M263" i="2"/>
  <c r="M117" i="3"/>
  <c r="M149" i="3" s="1"/>
  <c r="J21" i="2"/>
  <c r="J25" i="2"/>
  <c r="J27" i="2" s="1"/>
  <c r="M26" i="2"/>
  <c r="L20" i="2"/>
  <c r="K19" i="2"/>
  <c r="I31" i="2"/>
  <c r="I30" i="2"/>
  <c r="M23" i="2"/>
  <c r="N38" i="2"/>
  <c r="M40" i="2"/>
  <c r="O13" i="2"/>
  <c r="N16" i="2"/>
  <c r="N17" i="2" s="1"/>
  <c r="N2" i="2"/>
  <c r="M94" i="2"/>
  <c r="M101" i="2" s="1"/>
  <c r="N34" i="2" l="1"/>
  <c r="M283" i="2"/>
  <c r="M240" i="2"/>
  <c r="L37" i="2"/>
  <c r="L36" i="2"/>
  <c r="M35" i="2"/>
  <c r="O16" i="2"/>
  <c r="O23" i="2" s="1"/>
  <c r="O118" i="3"/>
  <c r="N263" i="2"/>
  <c r="N117" i="3"/>
  <c r="N149" i="3" s="1"/>
  <c r="J30" i="2"/>
  <c r="N26" i="2"/>
  <c r="K21" i="2"/>
  <c r="K25" i="2"/>
  <c r="K27" i="2" s="1"/>
  <c r="M29" i="2"/>
  <c r="M20" i="2"/>
  <c r="L19" i="2"/>
  <c r="J31" i="2"/>
  <c r="N23" i="2"/>
  <c r="O38" i="2"/>
  <c r="O34" i="2" s="1"/>
  <c r="N40" i="2"/>
  <c r="O2" i="2"/>
  <c r="O117" i="3" s="1"/>
  <c r="O149" i="3" s="1"/>
  <c r="N94" i="2"/>
  <c r="N101" i="2" s="1"/>
  <c r="M37" i="2" l="1"/>
  <c r="N283" i="2"/>
  <c r="N240" i="2"/>
  <c r="O17" i="2"/>
  <c r="M36" i="2"/>
  <c r="N35" i="2"/>
  <c r="O40" i="2"/>
  <c r="P38" i="2"/>
  <c r="K30" i="2"/>
  <c r="N20" i="2"/>
  <c r="M19" i="2"/>
  <c r="O26" i="2"/>
  <c r="L21" i="2"/>
  <c r="L25" i="2"/>
  <c r="L27" i="2" s="1"/>
  <c r="K31" i="2"/>
  <c r="O29" i="2"/>
  <c r="N29" i="2"/>
  <c r="O94" i="2"/>
  <c r="O101" i="2" s="1"/>
  <c r="O263" i="2"/>
  <c r="O283" i="2" l="1"/>
  <c r="O240" i="2"/>
  <c r="N36" i="2"/>
  <c r="O35" i="2"/>
  <c r="O36" i="2" s="1"/>
  <c r="N37" i="2"/>
  <c r="L30" i="2"/>
  <c r="M21" i="2"/>
  <c r="M25" i="2"/>
  <c r="O20" i="2"/>
  <c r="O19" i="2" s="1"/>
  <c r="N19" i="2"/>
  <c r="L31" i="2"/>
  <c r="O37" i="2" l="1"/>
  <c r="M27" i="2"/>
  <c r="M31" i="2" s="1"/>
  <c r="N21" i="2"/>
  <c r="N25" i="2"/>
  <c r="N27" i="2" s="1"/>
  <c r="O21" i="2"/>
  <c r="M30" i="2"/>
  <c r="O25" i="2"/>
  <c r="O27" i="2" s="1"/>
  <c r="O31" i="2" l="1"/>
  <c r="N31" i="2"/>
  <c r="O30" i="2"/>
  <c r="N30" i="2"/>
  <c r="B16" i="8" l="1"/>
  <c r="D51" i="2" l="1"/>
  <c r="D53" i="2" s="1"/>
  <c r="D74" i="2"/>
  <c r="F194" i="3" l="1"/>
  <c r="C360" i="3"/>
  <c r="D18" i="6"/>
  <c r="C224" i="3"/>
  <c r="C353" i="3"/>
  <c r="E33" i="7"/>
  <c r="F150" i="3" l="1"/>
  <c r="F195" i="3"/>
  <c r="C363" i="3"/>
  <c r="C384" i="3" s="1"/>
  <c r="E34" i="7"/>
  <c r="C361" i="3"/>
  <c r="C383" i="3"/>
  <c r="Z394" i="3"/>
  <c r="Z404" i="3" s="1"/>
  <c r="D28" i="6"/>
  <c r="C58" i="6"/>
  <c r="D19" i="6"/>
  <c r="C366" i="3"/>
  <c r="D37" i="6"/>
  <c r="E36" i="7"/>
  <c r="F27" i="5"/>
  <c r="G274" i="2" l="1"/>
  <c r="G91" i="2"/>
  <c r="G194" i="3" s="1"/>
  <c r="F33" i="7"/>
  <c r="G273" i="2"/>
  <c r="G181" i="2"/>
  <c r="G195" i="2"/>
  <c r="G198" i="2" s="1"/>
  <c r="G99" i="2"/>
  <c r="E18" i="6"/>
  <c r="D58" i="6" s="1"/>
  <c r="D75" i="6" s="1"/>
  <c r="C448" i="3"/>
  <c r="H80" i="6"/>
  <c r="D360" i="3"/>
  <c r="D361" i="3" s="1"/>
  <c r="C60" i="6"/>
  <c r="C67" i="6"/>
  <c r="C62" i="6"/>
  <c r="C367" i="3"/>
  <c r="C387" i="3"/>
  <c r="D38" i="6"/>
  <c r="D48" i="6"/>
  <c r="D40" i="6"/>
  <c r="F28" i="5"/>
  <c r="F29" i="5" s="1"/>
  <c r="F23" i="5"/>
  <c r="G196" i="2" l="1"/>
  <c r="G268" i="2"/>
  <c r="G225" i="2"/>
  <c r="C538" i="3" s="1"/>
  <c r="G204" i="2"/>
  <c r="G205" i="2" s="1"/>
  <c r="C451" i="3"/>
  <c r="O448" i="3"/>
  <c r="C449" i="3"/>
  <c r="G182" i="2"/>
  <c r="G83" i="2" s="1"/>
  <c r="G84" i="2" s="1"/>
  <c r="G80" i="2" s="1"/>
  <c r="G79" i="2" s="1"/>
  <c r="G150" i="3" s="1"/>
  <c r="H81" i="6"/>
  <c r="H82" i="6"/>
  <c r="H83" i="6" s="1"/>
  <c r="G275" i="2"/>
  <c r="F35" i="7"/>
  <c r="D365" i="3"/>
  <c r="D386" i="3" s="1"/>
  <c r="G197" i="2"/>
  <c r="D366" i="3"/>
  <c r="D387" i="3" s="1"/>
  <c r="G23" i="5"/>
  <c r="E37" i="6"/>
  <c r="E40" i="6" s="1"/>
  <c r="F36" i="7"/>
  <c r="G265" i="2"/>
  <c r="E28" i="6"/>
  <c r="E19" i="6"/>
  <c r="D61" i="6"/>
  <c r="D76" i="6" s="1"/>
  <c r="C456" i="3"/>
  <c r="G27" i="5"/>
  <c r="D383" i="3"/>
  <c r="AA394" i="3"/>
  <c r="AA404" i="3" s="1"/>
  <c r="C69" i="6"/>
  <c r="C71" i="6"/>
  <c r="D60" i="6"/>
  <c r="F24" i="5"/>
  <c r="F25" i="5" s="1"/>
  <c r="G203" i="2" l="1"/>
  <c r="G207" i="2"/>
  <c r="O451" i="3"/>
  <c r="C452" i="3"/>
  <c r="O456" i="3"/>
  <c r="C457" i="3"/>
  <c r="D62" i="6"/>
  <c r="D367" i="3"/>
  <c r="E48" i="6"/>
  <c r="E38" i="6"/>
  <c r="G230" i="2"/>
  <c r="G211" i="2"/>
  <c r="C454" i="3"/>
  <c r="O454" i="3" s="1"/>
  <c r="C368" i="3"/>
  <c r="E394" i="3"/>
  <c r="F16" i="5"/>
  <c r="E37" i="7"/>
  <c r="D53" i="6"/>
  <c r="G232" i="2" l="1"/>
  <c r="G28" i="5" s="1"/>
  <c r="G29" i="5" s="1"/>
  <c r="G271" i="2"/>
  <c r="C15" i="7" s="1"/>
  <c r="C16" i="7" s="1"/>
  <c r="J8" i="7" s="1"/>
  <c r="F80" i="6"/>
  <c r="G24" i="5"/>
  <c r="G25" i="5" s="1"/>
  <c r="G234" i="2"/>
  <c r="F18" i="5"/>
  <c r="E43" i="7"/>
  <c r="F31" i="5"/>
  <c r="Z395" i="3"/>
  <c r="Z405" i="3" s="1"/>
  <c r="C388" i="3"/>
  <c r="G281" i="2" l="1"/>
  <c r="F82" i="6"/>
  <c r="F83" i="6" s="1"/>
  <c r="F81" i="6"/>
  <c r="H84" i="6"/>
  <c r="C458" i="3"/>
  <c r="O458" i="3" s="1"/>
  <c r="G18" i="5"/>
  <c r="E53" i="6"/>
  <c r="G235" i="2"/>
  <c r="G237" i="2"/>
  <c r="G238" i="2" s="1"/>
  <c r="F394" i="3" s="1"/>
  <c r="G16" i="5"/>
  <c r="D368" i="3"/>
  <c r="F37" i="7"/>
  <c r="F84" i="6" l="1"/>
  <c r="G31" i="5"/>
  <c r="F43" i="7"/>
  <c r="AA395" i="3"/>
  <c r="AA405" i="3" s="1"/>
  <c r="D388" i="3"/>
  <c r="F7" i="5"/>
  <c r="G309" i="2"/>
  <c r="C10" i="7" l="1"/>
  <c r="E46" i="7"/>
  <c r="F19" i="5"/>
  <c r="F21" i="5" s="1"/>
  <c r="F9" i="5"/>
  <c r="G7" i="5"/>
  <c r="F11" i="5" l="1"/>
  <c r="F12" i="5"/>
  <c r="F15" i="5"/>
  <c r="F13" i="5"/>
  <c r="G9" i="5"/>
  <c r="F46" i="7"/>
  <c r="G19" i="5"/>
  <c r="G21" i="5" s="1"/>
  <c r="G15" i="5" l="1"/>
  <c r="G11" i="5"/>
  <c r="G12" i="5"/>
  <c r="G14" i="5"/>
  <c r="D415" i="3" l="1"/>
  <c r="E415" i="3" s="1"/>
  <c r="C365" i="3" l="1"/>
  <c r="C386" i="3" s="1"/>
  <c r="F14" i="5"/>
  <c r="E35" i="7"/>
  <c r="E44" i="7" l="1"/>
  <c r="G294" i="2" l="1"/>
  <c r="F44" i="7" l="1"/>
  <c r="I288" i="2"/>
  <c r="J288" i="2" l="1"/>
  <c r="K288" i="2" l="1"/>
  <c r="L288" i="2" l="1"/>
  <c r="M288" i="2" l="1"/>
  <c r="N288" i="2" l="1"/>
  <c r="O288" i="2" l="1"/>
  <c r="G306" i="2" l="1"/>
  <c r="G307" i="2" s="1"/>
  <c r="I299" i="2" l="1"/>
  <c r="J299" i="2" l="1"/>
  <c r="K299" i="2" l="1"/>
  <c r="L299" i="2" l="1"/>
  <c r="M299" i="2" l="1"/>
  <c r="N299" i="2" l="1"/>
  <c r="O299" i="2" l="1"/>
  <c r="P140" i="4"/>
  <c r="P143" i="4" l="1"/>
  <c r="P229" i="4"/>
  <c r="P234" i="4" l="1"/>
  <c r="P241" i="4" s="1"/>
  <c r="O18" i="9" l="1"/>
  <c r="O16" i="9"/>
  <c r="BC144" i="4" l="1"/>
  <c r="C222" i="4" l="1"/>
  <c r="C224" i="4" s="1"/>
  <c r="D222" i="4"/>
  <c r="D224" i="4" s="1"/>
  <c r="E222" i="4"/>
  <c r="E224" i="4" s="1"/>
  <c r="F222" i="4"/>
  <c r="F224" i="4" s="1"/>
  <c r="G222" i="4"/>
  <c r="G224" i="4" s="1"/>
  <c r="H222" i="4"/>
  <c r="I222" i="4"/>
  <c r="J222" i="4"/>
  <c r="J224" i="4" s="1"/>
  <c r="K222" i="4"/>
  <c r="K224" i="4" s="1"/>
  <c r="L222" i="4"/>
  <c r="L224" i="4" s="1"/>
  <c r="M222" i="4"/>
  <c r="M224" i="4" s="1"/>
  <c r="N222" i="4"/>
  <c r="N224" i="4" s="1"/>
  <c r="O222" i="4"/>
  <c r="O224" i="4" s="1"/>
  <c r="P222" i="4"/>
  <c r="P224" i="4" s="1"/>
  <c r="Q222" i="4"/>
  <c r="Q224" i="4" s="1"/>
  <c r="L36" i="4"/>
  <c r="K47" i="4"/>
  <c r="L60" i="4" l="1"/>
  <c r="G88" i="2" l="1"/>
  <c r="H91" i="2"/>
  <c r="H194" i="3" s="1"/>
  <c r="P98" i="2"/>
  <c r="H99" i="2"/>
  <c r="I179" i="2"/>
  <c r="H186" i="2"/>
  <c r="G191" i="2"/>
  <c r="H273" i="2"/>
  <c r="H274" i="2"/>
  <c r="G33" i="7"/>
  <c r="H189" i="2" l="1"/>
  <c r="C22" i="11"/>
  <c r="D12" i="7"/>
  <c r="G92" i="2"/>
  <c r="G195" i="3" s="1"/>
  <c r="G208" i="2"/>
  <c r="H195" i="2"/>
  <c r="G192" i="2"/>
  <c r="G13" i="5"/>
  <c r="F34" i="7"/>
  <c r="G236" i="2"/>
  <c r="H275" i="2"/>
  <c r="G36" i="7"/>
  <c r="H265" i="2"/>
  <c r="H191" i="2"/>
  <c r="H88" i="2"/>
  <c r="I82" i="6"/>
  <c r="F18" i="6"/>
  <c r="C20" i="11"/>
  <c r="C31" i="11" s="1"/>
  <c r="D41" i="11"/>
  <c r="F41" i="11" s="1"/>
  <c r="F37" i="6"/>
  <c r="D456" i="3"/>
  <c r="D448" i="3"/>
  <c r="E366" i="3"/>
  <c r="D363" i="3"/>
  <c r="D384" i="3" s="1"/>
  <c r="E360" i="3"/>
  <c r="D39" i="11"/>
  <c r="F39" i="11" s="1"/>
  <c r="I80" i="6"/>
  <c r="E61" i="6"/>
  <c r="H170" i="2" l="1"/>
  <c r="H168" i="2"/>
  <c r="H169" i="2"/>
  <c r="H171" i="2"/>
  <c r="H172" i="2"/>
  <c r="H173" i="2"/>
  <c r="H174" i="2"/>
  <c r="H167" i="2"/>
  <c r="H22" i="11"/>
  <c r="H268" i="2"/>
  <c r="H198" i="2"/>
  <c r="H92" i="2"/>
  <c r="H195" i="3" s="1"/>
  <c r="I1078" i="1"/>
  <c r="H196" i="2"/>
  <c r="C21" i="11"/>
  <c r="H225" i="2"/>
  <c r="D538" i="3" s="1"/>
  <c r="D13" i="7"/>
  <c r="H182" i="2"/>
  <c r="H83" i="2" s="1"/>
  <c r="H84" i="2" s="1"/>
  <c r="H80" i="2" s="1"/>
  <c r="H79" i="2" s="1"/>
  <c r="H150" i="3" s="1"/>
  <c r="G35" i="7"/>
  <c r="E365" i="3"/>
  <c r="E386" i="3" s="1"/>
  <c r="H197" i="2"/>
  <c r="I81" i="6"/>
  <c r="D451" i="3"/>
  <c r="D452" i="3" s="1"/>
  <c r="I83" i="6"/>
  <c r="P448" i="3"/>
  <c r="D449" i="3"/>
  <c r="P456" i="3"/>
  <c r="D457" i="3"/>
  <c r="G34" i="7"/>
  <c r="E363" i="3"/>
  <c r="E384" i="3" s="1"/>
  <c r="H192" i="2"/>
  <c r="E367" i="3"/>
  <c r="E387" i="3"/>
  <c r="F40" i="6"/>
  <c r="F48" i="6"/>
  <c r="F38" i="6"/>
  <c r="E76" i="6"/>
  <c r="D42" i="11"/>
  <c r="AB394" i="3"/>
  <c r="AB404" i="3" s="1"/>
  <c r="E361" i="3"/>
  <c r="E383" i="3"/>
  <c r="F19" i="6"/>
  <c r="F28" i="6"/>
  <c r="E58" i="6"/>
  <c r="L22" i="11" l="1"/>
  <c r="H21" i="11"/>
  <c r="C33" i="11"/>
  <c r="F730" i="3"/>
  <c r="C23" i="11"/>
  <c r="C25" i="11"/>
  <c r="C26" i="11"/>
  <c r="H215" i="2"/>
  <c r="H27" i="5"/>
  <c r="P451" i="3"/>
  <c r="E60" i="6"/>
  <c r="E75" i="6"/>
  <c r="E62" i="6"/>
  <c r="G70" i="11" l="1"/>
  <c r="H25" i="11"/>
  <c r="H23" i="11"/>
  <c r="L23" i="11" s="1"/>
  <c r="L21" i="11"/>
  <c r="C32" i="11"/>
  <c r="H26" i="11"/>
  <c r="D539" i="3" s="1"/>
  <c r="F731" i="3"/>
  <c r="F729" i="3"/>
  <c r="L896" i="3"/>
  <c r="C5" i="11"/>
  <c r="H221" i="2"/>
  <c r="C34" i="11" l="1"/>
  <c r="C11" i="11"/>
  <c r="D454" i="3"/>
  <c r="P454" i="3" s="1"/>
  <c r="H204" i="2"/>
  <c r="H211" i="2"/>
  <c r="H23" i="5"/>
  <c r="H230" i="2"/>
  <c r="H203" i="2" l="1"/>
  <c r="H205" i="2"/>
  <c r="H232" i="2"/>
  <c r="H28" i="5" s="1"/>
  <c r="H29" i="5" s="1"/>
  <c r="L871" i="3"/>
  <c r="H24" i="5"/>
  <c r="H25" i="5" s="1"/>
  <c r="H161" i="2" l="1"/>
  <c r="AH31" i="4"/>
  <c r="AH89" i="4" s="1"/>
  <c r="H234" i="2"/>
  <c r="H271" i="2"/>
  <c r="D15" i="7" s="1"/>
  <c r="D16" i="7" s="1"/>
  <c r="K8" i="7" s="1"/>
  <c r="AA31" i="4" l="1"/>
  <c r="AH34" i="4"/>
  <c r="AH92" i="4" s="1"/>
  <c r="K136" i="2"/>
  <c r="C944" i="3"/>
  <c r="K944" i="3" s="1"/>
  <c r="C12" i="11"/>
  <c r="C13" i="11" s="1"/>
  <c r="H237" i="2"/>
  <c r="H238" i="2" s="1"/>
  <c r="G394" i="3" s="1"/>
  <c r="F53" i="6"/>
  <c r="G37" i="7"/>
  <c r="C24" i="11"/>
  <c r="C35" i="11" s="1"/>
  <c r="E368" i="3"/>
  <c r="E388" i="3" s="1"/>
  <c r="H236" i="2"/>
  <c r="H235" i="2"/>
  <c r="H31" i="5"/>
  <c r="I84" i="6"/>
  <c r="H16" i="5"/>
  <c r="J9" i="7" s="1"/>
  <c r="D458" i="3"/>
  <c r="P458" i="3" s="1"/>
  <c r="H281" i="2"/>
  <c r="AA89" i="4" l="1"/>
  <c r="K1094" i="3" s="1"/>
  <c r="K1066" i="3"/>
  <c r="K151" i="2"/>
  <c r="K138" i="2"/>
  <c r="K152" i="2" s="1"/>
  <c r="K195" i="2" s="1"/>
  <c r="F19" i="7" s="1"/>
  <c r="G19" i="7" s="1"/>
  <c r="D944" i="3"/>
  <c r="L944" i="3" s="1"/>
  <c r="L136" i="2"/>
  <c r="E944" i="3"/>
  <c r="C14" i="11"/>
  <c r="G43" i="7"/>
  <c r="AB395" i="3"/>
  <c r="AB405" i="3" s="1"/>
  <c r="H306" i="2"/>
  <c r="H18" i="5"/>
  <c r="H309" i="2"/>
  <c r="H294" i="2"/>
  <c r="G44" i="7" s="1"/>
  <c r="E1026" i="3" l="1"/>
  <c r="E1040" i="3" s="1"/>
  <c r="K204" i="2"/>
  <c r="K210" i="2" s="1"/>
  <c r="F23" i="7" s="1"/>
  <c r="L151" i="2"/>
  <c r="L138" i="2"/>
  <c r="L152" i="2" s="1"/>
  <c r="L195" i="2" s="1"/>
  <c r="F70" i="11" s="1"/>
  <c r="K153" i="2"/>
  <c r="M944" i="3"/>
  <c r="H307" i="2"/>
  <c r="H7" i="5"/>
  <c r="C43" i="5" s="1"/>
  <c r="F1026" i="3" l="1"/>
  <c r="F1040" i="3" s="1"/>
  <c r="L204" i="2"/>
  <c r="L210" i="2" s="1"/>
  <c r="L153" i="2"/>
  <c r="M136" i="2"/>
  <c r="M138" i="2" s="1"/>
  <c r="M152" i="2" s="1"/>
  <c r="H9" i="5"/>
  <c r="H19" i="5"/>
  <c r="H21" i="5" s="1"/>
  <c r="G46" i="7"/>
  <c r="Y145" i="4"/>
  <c r="M23" i="9" s="1"/>
  <c r="Y147" i="4"/>
  <c r="Y148" i="4" l="1"/>
  <c r="M24" i="9"/>
  <c r="N24" i="9" s="1"/>
  <c r="N136" i="2"/>
  <c r="N138" i="2" s="1"/>
  <c r="N152" i="2" s="1"/>
  <c r="M151" i="2"/>
  <c r="M153" i="2" s="1"/>
  <c r="H14" i="5"/>
  <c r="J6" i="7" s="1"/>
  <c r="H11" i="5"/>
  <c r="H13" i="5"/>
  <c r="J5" i="7" s="1"/>
  <c r="H15" i="5"/>
  <c r="J7" i="7" s="1"/>
  <c r="H12" i="5"/>
  <c r="J4" i="7" s="1"/>
  <c r="Z145" i="4"/>
  <c r="Z147" i="4"/>
  <c r="Z148" i="4" s="1"/>
  <c r="M684" i="3"/>
  <c r="N677" i="3"/>
  <c r="O136" i="2" l="1"/>
  <c r="N151" i="2"/>
  <c r="N153" i="2" s="1"/>
  <c r="N684" i="3"/>
  <c r="AH28" i="4"/>
  <c r="AH86" i="4" l="1"/>
  <c r="AH29" i="4"/>
  <c r="O151" i="2"/>
  <c r="O138" i="2"/>
  <c r="O152" i="2" s="1"/>
  <c r="AA28" i="4"/>
  <c r="K1064" i="3" s="1"/>
  <c r="O684" i="3"/>
  <c r="H160" i="2"/>
  <c r="H132" i="2"/>
  <c r="AA29" i="4" l="1"/>
  <c r="AA86" i="4"/>
  <c r="K1092" i="3" s="1"/>
  <c r="AH35" i="4"/>
  <c r="AH93" i="4" s="1"/>
  <c r="AH87" i="4"/>
  <c r="H134" i="2"/>
  <c r="O153" i="2"/>
  <c r="H157" i="2"/>
  <c r="I132" i="2"/>
  <c r="AA87" i="4" l="1"/>
  <c r="K1093" i="3" s="1"/>
  <c r="K1065" i="3"/>
  <c r="I98" i="2"/>
  <c r="I134" i="2"/>
  <c r="J132" i="2"/>
  <c r="C1024" i="3" l="1"/>
  <c r="C1038" i="3" s="1"/>
  <c r="D18" i="7"/>
  <c r="I194" i="2"/>
  <c r="I97" i="2"/>
  <c r="I156" i="2"/>
  <c r="I162" i="2"/>
  <c r="I163" i="2"/>
  <c r="AA35" i="4"/>
  <c r="K1070" i="3" s="1"/>
  <c r="J98" i="2"/>
  <c r="J134" i="2"/>
  <c r="K132" i="2"/>
  <c r="D1024" i="3" l="1"/>
  <c r="D1038" i="3" s="1"/>
  <c r="E18" i="7"/>
  <c r="AA55" i="4"/>
  <c r="AA56" i="4" s="1"/>
  <c r="BD35" i="4"/>
  <c r="K1071" i="3" s="1"/>
  <c r="J97" i="2"/>
  <c r="J95" i="2" s="1"/>
  <c r="I95" i="2"/>
  <c r="J194" i="2"/>
  <c r="J162" i="2"/>
  <c r="J163" i="2"/>
  <c r="AE35" i="4"/>
  <c r="K98" i="2"/>
  <c r="K134" i="2"/>
  <c r="M127" i="2"/>
  <c r="L132" i="2"/>
  <c r="E1024" i="3" l="1"/>
  <c r="E1038" i="3" s="1"/>
  <c r="F18" i="7"/>
  <c r="BH35" i="4"/>
  <c r="O1071" i="3" s="1"/>
  <c r="O1070" i="3"/>
  <c r="AE93" i="4"/>
  <c r="O1098" i="3" s="1"/>
  <c r="AE55" i="4"/>
  <c r="K194" i="2"/>
  <c r="K97" i="2"/>
  <c r="K95" i="2" s="1"/>
  <c r="K163" i="2"/>
  <c r="K162" i="2"/>
  <c r="M129" i="2"/>
  <c r="M133" i="2" s="1"/>
  <c r="M195" i="2" s="1"/>
  <c r="L98" i="2"/>
  <c r="F1024" i="3" s="1"/>
  <c r="F1038" i="3" s="1"/>
  <c r="L134" i="2"/>
  <c r="N127" i="2"/>
  <c r="M132" i="2"/>
  <c r="M204" i="2" l="1"/>
  <c r="M210" i="2" s="1"/>
  <c r="AE56" i="4"/>
  <c r="L194" i="2"/>
  <c r="L97" i="2"/>
  <c r="L163" i="2"/>
  <c r="L162" i="2"/>
  <c r="M98" i="2"/>
  <c r="N129" i="2"/>
  <c r="N133" i="2" s="1"/>
  <c r="N195" i="2" s="1"/>
  <c r="M134" i="2"/>
  <c r="O127" i="2"/>
  <c r="N132" i="2"/>
  <c r="N204" i="2" l="1"/>
  <c r="N210" i="2" s="1"/>
  <c r="M194" i="2"/>
  <c r="M97" i="2"/>
  <c r="L95" i="2"/>
  <c r="M163" i="2"/>
  <c r="M162" i="2"/>
  <c r="N98" i="2"/>
  <c r="O129" i="2"/>
  <c r="O133" i="2" s="1"/>
  <c r="O195" i="2" s="1"/>
  <c r="O204" i="2" s="1"/>
  <c r="O210" i="2" s="1"/>
  <c r="N134" i="2"/>
  <c r="O132" i="2"/>
  <c r="D446" i="3"/>
  <c r="P446" i="3" s="1"/>
  <c r="H48" i="2"/>
  <c r="D444" i="3" s="1"/>
  <c r="P444" i="3" s="1"/>
  <c r="H73" i="2"/>
  <c r="H74" i="2"/>
  <c r="H76" i="2" s="1"/>
  <c r="H128" i="3" s="1"/>
  <c r="H75" i="2"/>
  <c r="H127" i="3" s="1"/>
  <c r="N194" i="2" l="1"/>
  <c r="N97" i="2"/>
  <c r="M95" i="2"/>
  <c r="N163" i="2"/>
  <c r="N162" i="2"/>
  <c r="O98" i="2"/>
  <c r="O134" i="2"/>
  <c r="H62" i="2"/>
  <c r="H122" i="3" s="1"/>
  <c r="H55" i="2"/>
  <c r="H51" i="2"/>
  <c r="H53" i="2" s="1"/>
  <c r="H49" i="2"/>
  <c r="H45" i="2"/>
  <c r="I45" i="2" s="1"/>
  <c r="J45" i="2" s="1"/>
  <c r="O194" i="2" l="1"/>
  <c r="O97" i="2"/>
  <c r="O95" i="2" s="1"/>
  <c r="N95" i="2"/>
  <c r="O163" i="2"/>
  <c r="O162" i="2"/>
  <c r="K62" i="2"/>
  <c r="J48" i="2"/>
  <c r="L19" i="7" s="1"/>
  <c r="J122" i="3"/>
  <c r="H59" i="2"/>
  <c r="H65" i="2" s="1"/>
  <c r="H125" i="3" s="1"/>
  <c r="H63" i="2"/>
  <c r="H123" i="3" s="1"/>
  <c r="H57" i="2"/>
  <c r="I122" i="3"/>
  <c r="I48" i="2"/>
  <c r="K19" i="7" s="1"/>
  <c r="K45" i="2"/>
  <c r="H64" i="2"/>
  <c r="H124" i="3" s="1"/>
  <c r="H60" i="2" l="1"/>
  <c r="J55" i="2"/>
  <c r="J51" i="2"/>
  <c r="J64" i="2" s="1"/>
  <c r="J124" i="3" s="1"/>
  <c r="F444" i="3"/>
  <c r="R444" i="3" s="1"/>
  <c r="J57" i="2"/>
  <c r="J53" i="2"/>
  <c r="J43" i="2"/>
  <c r="L18" i="7" s="1"/>
  <c r="L62" i="2"/>
  <c r="K48" i="2"/>
  <c r="M19" i="7" s="1"/>
  <c r="N19" i="7" s="1"/>
  <c r="K122" i="3"/>
  <c r="K43" i="2"/>
  <c r="M18" i="7" s="1"/>
  <c r="L45" i="2"/>
  <c r="I51" i="2"/>
  <c r="I53" i="2" s="1"/>
  <c r="E444" i="3"/>
  <c r="Q444" i="3" s="1"/>
  <c r="I55" i="2"/>
  <c r="I57" i="2" s="1"/>
  <c r="J49" i="2"/>
  <c r="I49" i="2"/>
  <c r="I43" i="2"/>
  <c r="K18" i="7" s="1"/>
  <c r="D930" i="3"/>
  <c r="L930" i="3" s="1"/>
  <c r="C1022" i="3" l="1"/>
  <c r="C1036" i="3" s="1"/>
  <c r="I87" i="2"/>
  <c r="F442" i="3"/>
  <c r="R442" i="3" s="1"/>
  <c r="D1022" i="3"/>
  <c r="D1036" i="3" s="1"/>
  <c r="J87" i="2"/>
  <c r="E929" i="3"/>
  <c r="M929" i="3" s="1"/>
  <c r="E1022" i="3"/>
  <c r="E1036" i="3" s="1"/>
  <c r="K87" i="2"/>
  <c r="I42" i="7"/>
  <c r="J44" i="2"/>
  <c r="AE3" i="4"/>
  <c r="D929" i="3"/>
  <c r="L929" i="3" s="1"/>
  <c r="G359" i="3"/>
  <c r="G382" i="3" s="1"/>
  <c r="J70" i="2"/>
  <c r="J46" i="2"/>
  <c r="J59" i="2"/>
  <c r="J63" i="2"/>
  <c r="J123" i="3" s="1"/>
  <c r="J72" i="2"/>
  <c r="L20" i="7" s="1"/>
  <c r="G444" i="3"/>
  <c r="S444" i="3" s="1"/>
  <c r="K55" i="2"/>
  <c r="K51" i="2"/>
  <c r="K64" i="2" s="1"/>
  <c r="K124" i="3" s="1"/>
  <c r="K49" i="2"/>
  <c r="K57" i="2"/>
  <c r="E19" i="11"/>
  <c r="E30" i="11" s="1"/>
  <c r="N18" i="7"/>
  <c r="M62" i="2"/>
  <c r="L122" i="3"/>
  <c r="L48" i="2"/>
  <c r="L43" i="2" s="1"/>
  <c r="AA3" i="4"/>
  <c r="C929" i="3"/>
  <c r="K929" i="3" s="1"/>
  <c r="E20" i="11"/>
  <c r="E31" i="11" s="1"/>
  <c r="J161" i="2"/>
  <c r="J160" i="2"/>
  <c r="J159" i="2"/>
  <c r="J158" i="2"/>
  <c r="G360" i="3"/>
  <c r="J91" i="2"/>
  <c r="J194" i="3" s="1"/>
  <c r="J156" i="2"/>
  <c r="K179" i="2"/>
  <c r="J287" i="2"/>
  <c r="F448" i="3"/>
  <c r="J157" i="2"/>
  <c r="G18" i="7"/>
  <c r="J296" i="2"/>
  <c r="I33" i="7"/>
  <c r="I59" i="2"/>
  <c r="I65" i="2" s="1"/>
  <c r="I125" i="3" s="1"/>
  <c r="I63" i="2"/>
  <c r="I123" i="3" s="1"/>
  <c r="I64" i="2"/>
  <c r="I124" i="3" s="1"/>
  <c r="J74" i="2"/>
  <c r="J76" i="2" s="1"/>
  <c r="J128" i="3" s="1"/>
  <c r="J75" i="2"/>
  <c r="J127" i="3" s="1"/>
  <c r="F446" i="3"/>
  <c r="R446" i="3" s="1"/>
  <c r="J79" i="6"/>
  <c r="E442" i="3"/>
  <c r="Q442" i="3" s="1"/>
  <c r="I72" i="2"/>
  <c r="K20" i="7" s="1"/>
  <c r="I46" i="2"/>
  <c r="I70" i="2"/>
  <c r="D19" i="11"/>
  <c r="D30" i="11" s="1"/>
  <c r="E60" i="11"/>
  <c r="G60" i="11" s="1"/>
  <c r="I44" i="2"/>
  <c r="F359" i="3"/>
  <c r="F382" i="3" s="1"/>
  <c r="G8" i="6"/>
  <c r="H42" i="7"/>
  <c r="M45" i="2"/>
  <c r="H359" i="3"/>
  <c r="H382" i="3" s="1"/>
  <c r="E930" i="3"/>
  <c r="M930" i="3" s="1"/>
  <c r="G442" i="3"/>
  <c r="S442" i="3" s="1"/>
  <c r="K72" i="2"/>
  <c r="M20" i="7" s="1"/>
  <c r="F19" i="11"/>
  <c r="F30" i="11" s="1"/>
  <c r="K44" i="2"/>
  <c r="J42" i="7"/>
  <c r="K70" i="2"/>
  <c r="K46" i="2"/>
  <c r="N20" i="7" l="1"/>
  <c r="BH3" i="4"/>
  <c r="F1022" i="3"/>
  <c r="F1036" i="3" s="1"/>
  <c r="L87" i="2"/>
  <c r="AE1" i="4"/>
  <c r="AE95" i="4"/>
  <c r="O1085" i="3" s="1"/>
  <c r="AE46" i="4"/>
  <c r="AE57" i="4"/>
  <c r="F950" i="3"/>
  <c r="P950" i="3" s="1"/>
  <c r="AA57" i="4"/>
  <c r="K53" i="2"/>
  <c r="J60" i="2"/>
  <c r="J65" i="2"/>
  <c r="J125" i="3" s="1"/>
  <c r="L51" i="2"/>
  <c r="L49" i="2"/>
  <c r="L55" i="2"/>
  <c r="L57" i="2" s="1"/>
  <c r="K59" i="2"/>
  <c r="K63" i="2"/>
  <c r="K123" i="3" s="1"/>
  <c r="N62" i="2"/>
  <c r="M48" i="2"/>
  <c r="M122" i="3"/>
  <c r="BD3" i="4"/>
  <c r="AB1" i="4"/>
  <c r="J184" i="2"/>
  <c r="C930" i="3"/>
  <c r="K930" i="3" s="1"/>
  <c r="J189" i="2"/>
  <c r="K189" i="2" s="1"/>
  <c r="I359" i="3"/>
  <c r="I382" i="3" s="1"/>
  <c r="L46" i="2"/>
  <c r="L70" i="2"/>
  <c r="L44" i="2"/>
  <c r="K42" i="7"/>
  <c r="L72" i="2"/>
  <c r="J300" i="2"/>
  <c r="G4" i="11"/>
  <c r="AA1" i="4"/>
  <c r="F57" i="6"/>
  <c r="F74" i="6" s="1"/>
  <c r="G9" i="6"/>
  <c r="I73" i="2"/>
  <c r="I74" i="2"/>
  <c r="I76" i="2" s="1"/>
  <c r="I128" i="3" s="1"/>
  <c r="I75" i="2"/>
  <c r="I127" i="3" s="1"/>
  <c r="E446" i="3"/>
  <c r="Q446" i="3" s="1"/>
  <c r="J73" i="2"/>
  <c r="F20" i="11"/>
  <c r="F31" i="11" s="1"/>
  <c r="K99" i="2"/>
  <c r="K161" i="2"/>
  <c r="K160" i="2"/>
  <c r="K184" i="2"/>
  <c r="K181" i="2" s="1"/>
  <c r="K182" i="2" s="1"/>
  <c r="K83" i="2" s="1"/>
  <c r="K84" i="2" s="1"/>
  <c r="K159" i="2"/>
  <c r="G448" i="3"/>
  <c r="K157" i="2"/>
  <c r="H360" i="3"/>
  <c r="K91" i="2"/>
  <c r="K194" i="3" s="1"/>
  <c r="K156" i="2"/>
  <c r="L179" i="2"/>
  <c r="K287" i="2"/>
  <c r="K273" i="2" s="1"/>
  <c r="K158" i="2"/>
  <c r="K296" i="2"/>
  <c r="J33" i="7"/>
  <c r="I60" i="2"/>
  <c r="G446" i="3"/>
  <c r="S446" i="3" s="1"/>
  <c r="K73" i="2"/>
  <c r="K74" i="2"/>
  <c r="K76" i="2" s="1"/>
  <c r="K128" i="3" s="1"/>
  <c r="K75" i="2"/>
  <c r="K127" i="3" s="1"/>
  <c r="G18" i="6"/>
  <c r="I99" i="2"/>
  <c r="I161" i="2"/>
  <c r="J80" i="6"/>
  <c r="I160" i="2"/>
  <c r="I184" i="2"/>
  <c r="I181" i="2" s="1"/>
  <c r="I159" i="2"/>
  <c r="I158" i="2"/>
  <c r="E448" i="3"/>
  <c r="I157" i="2"/>
  <c r="I229" i="3"/>
  <c r="E61" i="11"/>
  <c r="D20" i="11"/>
  <c r="D31" i="11" s="1"/>
  <c r="J179" i="2"/>
  <c r="F360" i="3"/>
  <c r="I91" i="2"/>
  <c r="I194" i="3" s="1"/>
  <c r="I296" i="2"/>
  <c r="H33" i="7"/>
  <c r="I287" i="2"/>
  <c r="I273" i="2" s="1"/>
  <c r="R448" i="3"/>
  <c r="F449" i="3"/>
  <c r="G383" i="3"/>
  <c r="G361" i="3"/>
  <c r="J99" i="2"/>
  <c r="M43" i="2"/>
  <c r="M87" i="2" s="1"/>
  <c r="N45" i="2"/>
  <c r="J181" i="2" l="1"/>
  <c r="J182" i="2" s="1"/>
  <c r="J83" i="2" s="1"/>
  <c r="J84" i="2" s="1"/>
  <c r="D945" i="3"/>
  <c r="L945" i="3" s="1"/>
  <c r="J164" i="2"/>
  <c r="L59" i="2"/>
  <c r="L65" i="2" s="1"/>
  <c r="L125" i="3" s="1"/>
  <c r="L63" i="2"/>
  <c r="L123" i="3" s="1"/>
  <c r="L53" i="2"/>
  <c r="L64" i="2"/>
  <c r="L124" i="3" s="1"/>
  <c r="L60" i="2"/>
  <c r="M55" i="2"/>
  <c r="M57" i="2" s="1"/>
  <c r="M51" i="2"/>
  <c r="M49" i="2"/>
  <c r="O62" i="2"/>
  <c r="N48" i="2"/>
  <c r="N43" i="2" s="1"/>
  <c r="N87" i="2" s="1"/>
  <c r="N122" i="3"/>
  <c r="K60" i="2"/>
  <c r="K65" i="2"/>
  <c r="K125" i="3" s="1"/>
  <c r="K164" i="2"/>
  <c r="E945" i="3"/>
  <c r="J274" i="2"/>
  <c r="I300" i="2"/>
  <c r="F361" i="3"/>
  <c r="F383" i="3"/>
  <c r="E449" i="3"/>
  <c r="Q448" i="3"/>
  <c r="G19" i="6"/>
  <c r="F58" i="6"/>
  <c r="G28" i="6"/>
  <c r="K300" i="2"/>
  <c r="K274" i="2"/>
  <c r="K275" i="2" s="1"/>
  <c r="H361" i="3"/>
  <c r="H383" i="3"/>
  <c r="I360" i="3"/>
  <c r="L91" i="2"/>
  <c r="L194" i="3" s="1"/>
  <c r="L156" i="2"/>
  <c r="M179" i="2"/>
  <c r="L189" i="2"/>
  <c r="L99" i="2"/>
  <c r="L161" i="2"/>
  <c r="L160" i="2"/>
  <c r="L184" i="2"/>
  <c r="L181" i="2" s="1"/>
  <c r="L182" i="2" s="1"/>
  <c r="L83" i="2" s="1"/>
  <c r="L84" i="2" s="1"/>
  <c r="L158" i="2"/>
  <c r="L157" i="2"/>
  <c r="L287" i="2"/>
  <c r="L273" i="2" s="1"/>
  <c r="L159" i="2"/>
  <c r="L296" i="2"/>
  <c r="K33" i="7"/>
  <c r="S448" i="3"/>
  <c r="G449" i="3"/>
  <c r="I274" i="2"/>
  <c r="I275" i="2" s="1"/>
  <c r="I182" i="2"/>
  <c r="I83" i="2" s="1"/>
  <c r="I84" i="2" s="1"/>
  <c r="I80" i="2" s="1"/>
  <c r="I79" i="2" s="1"/>
  <c r="I150" i="3" s="1"/>
  <c r="L73" i="2"/>
  <c r="L74" i="2"/>
  <c r="L76" i="2" s="1"/>
  <c r="L128" i="3" s="1"/>
  <c r="L75" i="2"/>
  <c r="L127" i="3" s="1"/>
  <c r="J273" i="2"/>
  <c r="O45" i="2"/>
  <c r="M44" i="2"/>
  <c r="J359" i="3"/>
  <c r="J382" i="3" s="1"/>
  <c r="M72" i="2"/>
  <c r="M46" i="2"/>
  <c r="M70" i="2"/>
  <c r="L42" i="7"/>
  <c r="D946" i="3" l="1"/>
  <c r="L946" i="3" s="1"/>
  <c r="C945" i="3"/>
  <c r="K945" i="3" s="1"/>
  <c r="M64" i="2"/>
  <c r="M124" i="3" s="1"/>
  <c r="N49" i="2"/>
  <c r="N51" i="2"/>
  <c r="N64" i="2" s="1"/>
  <c r="N124" i="3" s="1"/>
  <c r="N55" i="2"/>
  <c r="N57" i="2" s="1"/>
  <c r="O122" i="3"/>
  <c r="O48" i="2"/>
  <c r="O43" i="2" s="1"/>
  <c r="O87" i="2" s="1"/>
  <c r="M59" i="2"/>
  <c r="M65" i="2" s="1"/>
  <c r="M125" i="3" s="1"/>
  <c r="M63" i="2"/>
  <c r="M123" i="3" s="1"/>
  <c r="M53" i="2"/>
  <c r="F951" i="3"/>
  <c r="P951" i="3" s="1"/>
  <c r="K967" i="3"/>
  <c r="J275" i="2"/>
  <c r="I164" i="2"/>
  <c r="M945" i="3"/>
  <c r="E946" i="3"/>
  <c r="M946" i="3" s="1"/>
  <c r="L164" i="2"/>
  <c r="L300" i="2"/>
  <c r="L274" i="2"/>
  <c r="L275" i="2" s="1"/>
  <c r="I383" i="3"/>
  <c r="I361" i="3"/>
  <c r="F60" i="6"/>
  <c r="F75" i="6"/>
  <c r="M157" i="2"/>
  <c r="J360" i="3"/>
  <c r="M91" i="2"/>
  <c r="M194" i="3" s="1"/>
  <c r="M156" i="2"/>
  <c r="N179" i="2"/>
  <c r="M189" i="2"/>
  <c r="M99" i="2"/>
  <c r="M161" i="2"/>
  <c r="M159" i="2"/>
  <c r="M158" i="2"/>
  <c r="L33" i="7"/>
  <c r="M287" i="2"/>
  <c r="M273" i="2" s="1"/>
  <c r="M184" i="2"/>
  <c r="M181" i="2" s="1"/>
  <c r="M182" i="2" s="1"/>
  <c r="M83" i="2" s="1"/>
  <c r="M84" i="2" s="1"/>
  <c r="M160" i="2"/>
  <c r="M296" i="2"/>
  <c r="M73" i="2"/>
  <c r="M74" i="2"/>
  <c r="M76" i="2" s="1"/>
  <c r="M128" i="3" s="1"/>
  <c r="M75" i="2"/>
  <c r="M127" i="3" s="1"/>
  <c r="N46" i="2"/>
  <c r="N70" i="2"/>
  <c r="N44" i="2"/>
  <c r="K359" i="3"/>
  <c r="K382" i="3" s="1"/>
  <c r="N72" i="2"/>
  <c r="M42" i="7"/>
  <c r="J80" i="2"/>
  <c r="C946" i="3" l="1"/>
  <c r="K946" i="3" s="1"/>
  <c r="L359" i="3"/>
  <c r="L382" i="3" s="1"/>
  <c r="N42" i="7"/>
  <c r="O44" i="2"/>
  <c r="O72" i="2"/>
  <c r="P72" i="2" s="1"/>
  <c r="O46" i="2"/>
  <c r="O70" i="2"/>
  <c r="N59" i="2"/>
  <c r="N63" i="2"/>
  <c r="N123" i="3" s="1"/>
  <c r="O55" i="2"/>
  <c r="O49" i="2"/>
  <c r="P48" i="2"/>
  <c r="O51" i="2"/>
  <c r="O57" i="2"/>
  <c r="M60" i="2"/>
  <c r="N53" i="2"/>
  <c r="O159" i="2"/>
  <c r="O158" i="2"/>
  <c r="O157" i="2"/>
  <c r="L360" i="3"/>
  <c r="O91" i="2"/>
  <c r="O194" i="3" s="1"/>
  <c r="O156" i="2"/>
  <c r="O99" i="2"/>
  <c r="O161" i="2"/>
  <c r="O160" i="2"/>
  <c r="O184" i="2"/>
  <c r="O296" i="2"/>
  <c r="N33" i="7"/>
  <c r="O287" i="2"/>
  <c r="M300" i="2"/>
  <c r="M274" i="2"/>
  <c r="M275" i="2" s="1"/>
  <c r="M164" i="2"/>
  <c r="J79" i="2"/>
  <c r="J150" i="3" s="1"/>
  <c r="K80" i="2"/>
  <c r="N158" i="2"/>
  <c r="N157" i="2"/>
  <c r="K360" i="3"/>
  <c r="N91" i="2"/>
  <c r="N194" i="3" s="1"/>
  <c r="N156" i="2"/>
  <c r="O179" i="2"/>
  <c r="N189" i="2"/>
  <c r="O189" i="2" s="1"/>
  <c r="N160" i="2"/>
  <c r="N184" i="2"/>
  <c r="N181" i="2" s="1"/>
  <c r="N182" i="2" s="1"/>
  <c r="N83" i="2" s="1"/>
  <c r="N84" i="2" s="1"/>
  <c r="N159" i="2"/>
  <c r="N99" i="2"/>
  <c r="N296" i="2"/>
  <c r="M33" i="7"/>
  <c r="N287" i="2"/>
  <c r="N273" i="2" s="1"/>
  <c r="N161" i="2"/>
  <c r="J361" i="3"/>
  <c r="J383" i="3"/>
  <c r="N73" i="2"/>
  <c r="N74" i="2"/>
  <c r="N76" i="2" s="1"/>
  <c r="N128" i="3" s="1"/>
  <c r="N75" i="2"/>
  <c r="N127" i="3" s="1"/>
  <c r="O74" i="2"/>
  <c r="O76" i="2" s="1"/>
  <c r="O128" i="3" s="1"/>
  <c r="O75" i="2"/>
  <c r="O127" i="3" s="1"/>
  <c r="J730" i="3"/>
  <c r="G5" i="11"/>
  <c r="F962" i="3"/>
  <c r="AA46" i="4"/>
  <c r="O73" i="2" l="1"/>
  <c r="O53" i="2"/>
  <c r="O64" i="2"/>
  <c r="O124" i="3" s="1"/>
  <c r="O59" i="2"/>
  <c r="O65" i="2" s="1"/>
  <c r="O125" i="3" s="1"/>
  <c r="O63" i="2"/>
  <c r="O123" i="3" s="1"/>
  <c r="N60" i="2"/>
  <c r="N65" i="2"/>
  <c r="N125" i="3" s="1"/>
  <c r="P962" i="3"/>
  <c r="F963" i="3"/>
  <c r="P963" i="3" s="1"/>
  <c r="N164" i="2"/>
  <c r="O273" i="2"/>
  <c r="K361" i="3"/>
  <c r="K383" i="3"/>
  <c r="N274" i="2"/>
  <c r="N275" i="2" s="1"/>
  <c r="N300" i="2"/>
  <c r="L361" i="3"/>
  <c r="L383" i="3"/>
  <c r="J729" i="3"/>
  <c r="J731" i="3"/>
  <c r="K79" i="2"/>
  <c r="K150" i="3" s="1"/>
  <c r="L80" i="2"/>
  <c r="O300" i="2"/>
  <c r="O274" i="2"/>
  <c r="O164" i="2"/>
  <c r="O181" i="2"/>
  <c r="O182" i="2" s="1"/>
  <c r="O83" i="2" s="1"/>
  <c r="O84" i="2" s="1"/>
  <c r="O60" i="2" l="1"/>
  <c r="L79" i="2"/>
  <c r="L150" i="3" s="1"/>
  <c r="M80" i="2"/>
  <c r="O275" i="2"/>
  <c r="M79" i="2" l="1"/>
  <c r="M150" i="3" s="1"/>
  <c r="N80" i="2"/>
  <c r="N79" i="2" l="1"/>
  <c r="N150" i="3" s="1"/>
  <c r="O80" i="2"/>
  <c r="O79" i="2" s="1"/>
  <c r="O150" i="3" s="1"/>
  <c r="H175" i="2"/>
  <c r="F365" i="3"/>
  <c r="F386" i="3" s="1"/>
  <c r="L169" i="2"/>
  <c r="I174" i="2"/>
  <c r="I186" i="2"/>
  <c r="I88" i="2" s="1"/>
  <c r="J186" i="2"/>
  <c r="J88" i="2" s="1"/>
  <c r="K186" i="2"/>
  <c r="L186" i="2"/>
  <c r="L88" i="2" s="1"/>
  <c r="M186" i="2"/>
  <c r="M88" i="2" s="1"/>
  <c r="N186" i="2"/>
  <c r="N191" i="2" s="1"/>
  <c r="O186" i="2"/>
  <c r="O88" i="2" s="1"/>
  <c r="I173" i="2"/>
  <c r="L168" i="2"/>
  <c r="I196" i="2"/>
  <c r="O196" i="2"/>
  <c r="I197" i="2"/>
  <c r="D20" i="7" s="1"/>
  <c r="L197" i="2"/>
  <c r="I198" i="2"/>
  <c r="C932" i="3" s="1"/>
  <c r="L198" i="2"/>
  <c r="I267" i="2"/>
  <c r="I215" i="2" s="1"/>
  <c r="AA111" i="4" s="1"/>
  <c r="AA119" i="4" s="1"/>
  <c r="L267" i="2"/>
  <c r="L215" i="2" s="1"/>
  <c r="L221" i="2" s="1"/>
  <c r="L223" i="2" s="1"/>
  <c r="L225" i="2" s="1"/>
  <c r="F72" i="11" s="1"/>
  <c r="N267" i="2"/>
  <c r="AA47" i="4"/>
  <c r="AA36" i="4" s="1"/>
  <c r="H35" i="7"/>
  <c r="K35" i="7"/>
  <c r="L224" i="2" l="1"/>
  <c r="F1027" i="3"/>
  <c r="I366" i="3"/>
  <c r="L265" i="2"/>
  <c r="K36" i="7"/>
  <c r="L23" i="5"/>
  <c r="F1030" i="3"/>
  <c r="F1043" i="3" s="1"/>
  <c r="L27" i="5"/>
  <c r="L29" i="5" s="1"/>
  <c r="I191" i="2"/>
  <c r="F363" i="3" s="1"/>
  <c r="F384" i="3" s="1"/>
  <c r="AA59" i="4"/>
  <c r="AA63" i="4" s="1"/>
  <c r="BD63" i="4" s="1"/>
  <c r="K363" i="3"/>
  <c r="K384" i="3" s="1"/>
  <c r="M34" i="7"/>
  <c r="N88" i="2"/>
  <c r="E13" i="7"/>
  <c r="M191" i="2"/>
  <c r="M92" i="2" s="1"/>
  <c r="M195" i="3" s="1"/>
  <c r="O191" i="2"/>
  <c r="N215" i="2"/>
  <c r="N221" i="2" s="1"/>
  <c r="L191" i="2"/>
  <c r="K34" i="7" s="1"/>
  <c r="M169" i="2"/>
  <c r="L35" i="7"/>
  <c r="M168" i="2"/>
  <c r="M167" i="2"/>
  <c r="J365" i="3"/>
  <c r="J386" i="3" s="1"/>
  <c r="M174" i="2"/>
  <c r="M198" i="2"/>
  <c r="M173" i="2"/>
  <c r="M197" i="2"/>
  <c r="M172" i="2"/>
  <c r="M196" i="2"/>
  <c r="M171" i="2"/>
  <c r="M267" i="2"/>
  <c r="M170" i="2"/>
  <c r="D850" i="3"/>
  <c r="K88" i="2"/>
  <c r="K191" i="2"/>
  <c r="O171" i="2"/>
  <c r="O267" i="2"/>
  <c r="O170" i="2"/>
  <c r="O169" i="2"/>
  <c r="N35" i="7"/>
  <c r="O168" i="2"/>
  <c r="O167" i="2"/>
  <c r="L365" i="3"/>
  <c r="L386" i="3" s="1"/>
  <c r="O174" i="2"/>
  <c r="O198" i="2"/>
  <c r="O173" i="2"/>
  <c r="O197" i="2"/>
  <c r="J167" i="2"/>
  <c r="L230" i="2"/>
  <c r="L211" i="2"/>
  <c r="G365" i="3"/>
  <c r="G386" i="3" s="1"/>
  <c r="J174" i="2"/>
  <c r="J198" i="2"/>
  <c r="D932" i="3" s="1"/>
  <c r="J173" i="2"/>
  <c r="J197" i="2"/>
  <c r="E20" i="7" s="1"/>
  <c r="J172" i="2"/>
  <c r="J196" i="2"/>
  <c r="E21" i="11"/>
  <c r="J171" i="2"/>
  <c r="J267" i="2"/>
  <c r="J170" i="2"/>
  <c r="F451" i="3"/>
  <c r="J169" i="2"/>
  <c r="I35" i="7"/>
  <c r="D931" i="3"/>
  <c r="J168" i="2"/>
  <c r="I240" i="3"/>
  <c r="I221" i="2"/>
  <c r="I223" i="2" s="1"/>
  <c r="I293" i="2"/>
  <c r="O172" i="2"/>
  <c r="N170" i="2"/>
  <c r="N169" i="2"/>
  <c r="M35" i="7"/>
  <c r="N168" i="2"/>
  <c r="N167" i="2"/>
  <c r="K365" i="3"/>
  <c r="K386" i="3" s="1"/>
  <c r="N174" i="2"/>
  <c r="N198" i="2"/>
  <c r="N173" i="2"/>
  <c r="N197" i="2"/>
  <c r="N172" i="2"/>
  <c r="N196" i="2"/>
  <c r="N171" i="2"/>
  <c r="L170" i="2"/>
  <c r="I167" i="2"/>
  <c r="N92" i="2"/>
  <c r="N195" i="3" s="1"/>
  <c r="E62" i="11"/>
  <c r="G62" i="11" s="1"/>
  <c r="C850" i="3"/>
  <c r="J191" i="2"/>
  <c r="L171" i="2"/>
  <c r="I168" i="2"/>
  <c r="C931" i="3"/>
  <c r="L172" i="2"/>
  <c r="I169" i="2"/>
  <c r="J81" i="6"/>
  <c r="E451" i="3"/>
  <c r="I232" i="3"/>
  <c r="L173" i="2"/>
  <c r="I170" i="2"/>
  <c r="L174" i="2"/>
  <c r="I171" i="2"/>
  <c r="D21" i="11"/>
  <c r="I365" i="3"/>
  <c r="I386" i="3" s="1"/>
  <c r="I172" i="2"/>
  <c r="L167" i="2"/>
  <c r="I27" i="5" l="1"/>
  <c r="I29" i="5" s="1"/>
  <c r="D21" i="7"/>
  <c r="D22" i="7" s="1"/>
  <c r="I92" i="2"/>
  <c r="I195" i="3" s="1"/>
  <c r="I367" i="3"/>
  <c r="I387" i="3"/>
  <c r="N211" i="2"/>
  <c r="N223" i="2"/>
  <c r="F1041" i="3"/>
  <c r="F1028" i="3"/>
  <c r="I224" i="2"/>
  <c r="H392" i="3" s="1"/>
  <c r="C1027" i="3"/>
  <c r="C934" i="3"/>
  <c r="K934" i="3" s="1"/>
  <c r="I237" i="3"/>
  <c r="I245" i="3" s="1"/>
  <c r="E456" i="3"/>
  <c r="E12" i="7"/>
  <c r="H36" i="7"/>
  <c r="F366" i="3"/>
  <c r="C851" i="3"/>
  <c r="C863" i="3" s="1"/>
  <c r="I265" i="2"/>
  <c r="G37" i="6"/>
  <c r="D22" i="11"/>
  <c r="D33" i="11" s="1"/>
  <c r="C56" i="11" s="1"/>
  <c r="J82" i="6"/>
  <c r="J83" i="6" s="1"/>
  <c r="F61" i="6"/>
  <c r="I225" i="2"/>
  <c r="E538" i="3" s="1"/>
  <c r="AA60" i="4"/>
  <c r="I192" i="2"/>
  <c r="H34" i="7"/>
  <c r="N230" i="2"/>
  <c r="N231" i="2" s="1"/>
  <c r="N271" i="2" s="1"/>
  <c r="N23" i="5"/>
  <c r="L192" i="2"/>
  <c r="L92" i="2"/>
  <c r="L195" i="3" s="1"/>
  <c r="I363" i="3"/>
  <c r="I384" i="3" s="1"/>
  <c r="J363" i="3"/>
  <c r="J384" i="3" s="1"/>
  <c r="L34" i="7"/>
  <c r="M192" i="2"/>
  <c r="L363" i="3"/>
  <c r="L384" i="3" s="1"/>
  <c r="O192" i="2"/>
  <c r="N34" i="7"/>
  <c r="O92" i="2"/>
  <c r="O195" i="3" s="1"/>
  <c r="N192" i="2"/>
  <c r="L175" i="2"/>
  <c r="I230" i="3"/>
  <c r="I231" i="3" s="1"/>
  <c r="I247" i="3"/>
  <c r="I263" i="3" s="1"/>
  <c r="I250" i="3"/>
  <c r="I264" i="3" s="1"/>
  <c r="F952" i="3"/>
  <c r="P952" i="3" s="1"/>
  <c r="K968" i="3"/>
  <c r="AA93" i="4"/>
  <c r="K1098" i="3" s="1"/>
  <c r="P871" i="3"/>
  <c r="AA95" i="4"/>
  <c r="G11" i="11"/>
  <c r="M175" i="2"/>
  <c r="R451" i="3"/>
  <c r="F452" i="3"/>
  <c r="J175" i="2"/>
  <c r="AA150" i="4"/>
  <c r="AA65" i="4"/>
  <c r="I211" i="2"/>
  <c r="E454" i="3"/>
  <c r="Q454" i="3" s="1"/>
  <c r="I230" i="2"/>
  <c r="D24" i="7" s="1"/>
  <c r="I23" i="5"/>
  <c r="O215" i="2"/>
  <c r="O221" i="2" s="1"/>
  <c r="O223" i="2" s="1"/>
  <c r="O27" i="5" s="1"/>
  <c r="O29" i="5" s="1"/>
  <c r="C40" i="5" s="1"/>
  <c r="C41" i="5" s="1"/>
  <c r="D862" i="3"/>
  <c r="E32" i="11"/>
  <c r="D55" i="11" s="1"/>
  <c r="E25" i="11"/>
  <c r="O175" i="2"/>
  <c r="H363" i="3"/>
  <c r="H384" i="3" s="1"/>
  <c r="K92" i="2"/>
  <c r="K195" i="3" s="1"/>
  <c r="K192" i="2"/>
  <c r="J34" i="7"/>
  <c r="M215" i="2"/>
  <c r="M221" i="2" s="1"/>
  <c r="M223" i="2" s="1"/>
  <c r="M27" i="5" s="1"/>
  <c r="M29" i="5" s="1"/>
  <c r="E452" i="3"/>
  <c r="Q451" i="3"/>
  <c r="G363" i="3"/>
  <c r="G384" i="3" s="1"/>
  <c r="J92" i="2"/>
  <c r="J195" i="3" s="1"/>
  <c r="J192" i="2"/>
  <c r="I34" i="7"/>
  <c r="N175" i="2"/>
  <c r="D32" i="11"/>
  <c r="C55" i="11" s="1"/>
  <c r="D25" i="11"/>
  <c r="K931" i="3"/>
  <c r="I175" i="2"/>
  <c r="L931" i="3"/>
  <c r="K167" i="2"/>
  <c r="P195" i="2"/>
  <c r="H365" i="3"/>
  <c r="H386" i="3" s="1"/>
  <c r="K174" i="2"/>
  <c r="K198" i="2"/>
  <c r="E932" i="3" s="1"/>
  <c r="K173" i="2"/>
  <c r="K197" i="2"/>
  <c r="F20" i="7" s="1"/>
  <c r="K172" i="2"/>
  <c r="K196" i="2"/>
  <c r="F21" i="11"/>
  <c r="K171" i="2"/>
  <c r="L196" i="2"/>
  <c r="K267" i="2"/>
  <c r="K170" i="2"/>
  <c r="G451" i="3"/>
  <c r="K169" i="2"/>
  <c r="J35" i="7"/>
  <c r="E931" i="3"/>
  <c r="K168" i="2"/>
  <c r="C862" i="3"/>
  <c r="I241" i="3"/>
  <c r="I262" i="3" s="1"/>
  <c r="F13" i="7"/>
  <c r="J215" i="2"/>
  <c r="L231" i="2"/>
  <c r="L271" i="2" s="1"/>
  <c r="L281" i="2" s="1"/>
  <c r="L24" i="5"/>
  <c r="L25" i="5" s="1"/>
  <c r="C933" i="3" l="1"/>
  <c r="K933" i="3" s="1"/>
  <c r="F953" i="3"/>
  <c r="K1085" i="3"/>
  <c r="I238" i="3"/>
  <c r="D23" i="11"/>
  <c r="D34" i="11" s="1"/>
  <c r="I234" i="3"/>
  <c r="I235" i="3" s="1"/>
  <c r="I261" i="3" s="1"/>
  <c r="C852" i="3"/>
  <c r="D26" i="11"/>
  <c r="C1041" i="3"/>
  <c r="C1028" i="3"/>
  <c r="F367" i="3"/>
  <c r="F387" i="3"/>
  <c r="E66" i="11"/>
  <c r="N224" i="2"/>
  <c r="K366" i="3"/>
  <c r="M36" i="7"/>
  <c r="N265" i="2"/>
  <c r="N281" i="2" s="1"/>
  <c r="N27" i="5"/>
  <c r="N29" i="5" s="1"/>
  <c r="N225" i="2"/>
  <c r="E65" i="11"/>
  <c r="E457" i="3"/>
  <c r="Q456" i="3"/>
  <c r="G48" i="6"/>
  <c r="G40" i="6"/>
  <c r="G38" i="6"/>
  <c r="F62" i="6"/>
  <c r="F76" i="6"/>
  <c r="M224" i="2"/>
  <c r="M265" i="2"/>
  <c r="J366" i="3"/>
  <c r="L36" i="7"/>
  <c r="M225" i="2"/>
  <c r="O224" i="2"/>
  <c r="L366" i="3"/>
  <c r="N36" i="7"/>
  <c r="O265" i="2"/>
  <c r="O225" i="2"/>
  <c r="J221" i="2"/>
  <c r="AE121" i="4" s="1"/>
  <c r="AE111" i="4"/>
  <c r="AE119" i="4" s="1"/>
  <c r="N24" i="5"/>
  <c r="N25" i="5" s="1"/>
  <c r="J293" i="2"/>
  <c r="I251" i="3"/>
  <c r="K175" i="2"/>
  <c r="N234" i="2"/>
  <c r="O211" i="2"/>
  <c r="O230" i="2"/>
  <c r="O23" i="5"/>
  <c r="K215" i="2"/>
  <c r="K221" i="2" s="1"/>
  <c r="K969" i="3"/>
  <c r="K976" i="3"/>
  <c r="S451" i="3"/>
  <c r="G452" i="3"/>
  <c r="M230" i="2"/>
  <c r="M23" i="5"/>
  <c r="M211" i="2"/>
  <c r="C935" i="3"/>
  <c r="K935" i="3" s="1"/>
  <c r="I231" i="2"/>
  <c r="I24" i="5"/>
  <c r="I25" i="5" s="1"/>
  <c r="L234" i="2"/>
  <c r="F1031" i="3" s="1"/>
  <c r="J230" i="2"/>
  <c r="E24" i="7" s="1"/>
  <c r="G23" i="7"/>
  <c r="J211" i="2"/>
  <c r="F454" i="3"/>
  <c r="R454" i="3" s="1"/>
  <c r="J23" i="5"/>
  <c r="M931" i="3"/>
  <c r="F32" i="11"/>
  <c r="F25" i="11"/>
  <c r="AA121" i="4"/>
  <c r="K387" i="3" l="1"/>
  <c r="K367" i="3"/>
  <c r="D1030" i="3"/>
  <c r="D1043" i="3" s="1"/>
  <c r="J223" i="2"/>
  <c r="E21" i="7" s="1"/>
  <c r="E22" i="7" s="1"/>
  <c r="J367" i="3"/>
  <c r="J387" i="3"/>
  <c r="L387" i="3"/>
  <c r="L367" i="3"/>
  <c r="E1030" i="3"/>
  <c r="E1043" i="3" s="1"/>
  <c r="K223" i="2"/>
  <c r="F21" i="7" s="1"/>
  <c r="F22" i="7" s="1"/>
  <c r="F1044" i="3"/>
  <c r="F1032" i="3"/>
  <c r="AE124" i="4"/>
  <c r="AE108" i="4" s="1"/>
  <c r="AE106" i="4"/>
  <c r="AA106" i="4"/>
  <c r="K293" i="2"/>
  <c r="L293" i="2" s="1"/>
  <c r="M293" i="2" s="1"/>
  <c r="N293" i="2" s="1"/>
  <c r="O293" i="2" s="1"/>
  <c r="M231" i="2"/>
  <c r="M271" i="2" s="1"/>
  <c r="M281" i="2" s="1"/>
  <c r="M24" i="5"/>
  <c r="M25" i="5" s="1"/>
  <c r="O231" i="2"/>
  <c r="O271" i="2" s="1"/>
  <c r="O281" i="2" s="1"/>
  <c r="O24" i="5"/>
  <c r="O25" i="5" s="1"/>
  <c r="L235" i="2"/>
  <c r="I368" i="3"/>
  <c r="I388" i="3" s="1"/>
  <c r="L237" i="2"/>
  <c r="L238" i="2" s="1"/>
  <c r="K37" i="7"/>
  <c r="L236" i="2"/>
  <c r="I271" i="2"/>
  <c r="I281" i="2" s="1"/>
  <c r="AA142" i="4"/>
  <c r="I253" i="3"/>
  <c r="I234" i="2"/>
  <c r="N237" i="2"/>
  <c r="N238" i="2" s="1"/>
  <c r="M37" i="7"/>
  <c r="N236" i="2"/>
  <c r="N235" i="2"/>
  <c r="K368" i="3"/>
  <c r="K388" i="3" s="1"/>
  <c r="K230" i="2"/>
  <c r="F24" i="7" s="1"/>
  <c r="K211" i="2"/>
  <c r="G454" i="3"/>
  <c r="S454" i="3" s="1"/>
  <c r="K23" i="5"/>
  <c r="AA124" i="4"/>
  <c r="BD124" i="4" s="1"/>
  <c r="G24" i="7"/>
  <c r="D935" i="3"/>
  <c r="L935" i="3" s="1"/>
  <c r="J231" i="2"/>
  <c r="J24" i="5"/>
  <c r="J25" i="5" s="1"/>
  <c r="AE122" i="4" l="1"/>
  <c r="AE104" i="4"/>
  <c r="AA122" i="4"/>
  <c r="AA104" i="4"/>
  <c r="C1031" i="3"/>
  <c r="C1032" i="3" s="1"/>
  <c r="D26" i="7"/>
  <c r="D25" i="7"/>
  <c r="AE125" i="4"/>
  <c r="AE127" i="4"/>
  <c r="AE129" i="4" s="1"/>
  <c r="J224" i="2"/>
  <c r="I392" i="3" s="1"/>
  <c r="D1027" i="3"/>
  <c r="D934" i="3"/>
  <c r="E22" i="11"/>
  <c r="F456" i="3"/>
  <c r="D851" i="3"/>
  <c r="J265" i="2"/>
  <c r="I36" i="7"/>
  <c r="F12" i="7"/>
  <c r="G366" i="3"/>
  <c r="J225" i="2"/>
  <c r="F538" i="3" s="1"/>
  <c r="J27" i="5"/>
  <c r="J29" i="5" s="1"/>
  <c r="K224" i="2"/>
  <c r="E1027" i="3"/>
  <c r="E934" i="3"/>
  <c r="F22" i="11"/>
  <c r="K265" i="2"/>
  <c r="J36" i="7"/>
  <c r="H366" i="3"/>
  <c r="P223" i="2"/>
  <c r="G456" i="3"/>
  <c r="K225" i="2"/>
  <c r="K27" i="5"/>
  <c r="K29" i="5" s="1"/>
  <c r="AE109" i="4"/>
  <c r="AE140" i="4"/>
  <c r="J271" i="2"/>
  <c r="F15" i="7" s="1"/>
  <c r="AE142" i="4"/>
  <c r="O234" i="2"/>
  <c r="J234" i="2"/>
  <c r="K231" i="2"/>
  <c r="K271" i="2" s="1"/>
  <c r="E935" i="3"/>
  <c r="M935" i="3" s="1"/>
  <c r="K24" i="5"/>
  <c r="K25" i="5" s="1"/>
  <c r="D24" i="11"/>
  <c r="D35" i="11" s="1"/>
  <c r="C936" i="3"/>
  <c r="K936" i="3" s="1"/>
  <c r="E458" i="3"/>
  <c r="Q458" i="3" s="1"/>
  <c r="G53" i="6"/>
  <c r="I237" i="2"/>
  <c r="I238" i="2" s="1"/>
  <c r="H394" i="3" s="1"/>
  <c r="I304" i="2"/>
  <c r="I31" i="5" s="1"/>
  <c r="K12" i="7" s="1"/>
  <c r="H37" i="7"/>
  <c r="I236" i="2"/>
  <c r="J84" i="6"/>
  <c r="I235" i="2"/>
  <c r="AA144" i="4"/>
  <c r="F368" i="3"/>
  <c r="F388" i="3" s="1"/>
  <c r="I285" i="2"/>
  <c r="E15" i="7"/>
  <c r="E16" i="7" s="1"/>
  <c r="L8" i="7" s="1"/>
  <c r="AA108" i="4"/>
  <c r="F954" i="3"/>
  <c r="AA125" i="4"/>
  <c r="AA127" i="4"/>
  <c r="AA129" i="4" s="1"/>
  <c r="G12" i="11"/>
  <c r="G13" i="11" s="1"/>
  <c r="I254" i="3"/>
  <c r="I265" i="3" s="1"/>
  <c r="I260" i="3" s="1"/>
  <c r="I256" i="3"/>
  <c r="I257" i="3" s="1"/>
  <c r="M234" i="2"/>
  <c r="C1044" i="3" l="1"/>
  <c r="D1031" i="3"/>
  <c r="E25" i="7"/>
  <c r="E26" i="7"/>
  <c r="F16" i="7"/>
  <c r="M8" i="7" s="1"/>
  <c r="K281" i="2"/>
  <c r="C39" i="5"/>
  <c r="C42" i="5" s="1"/>
  <c r="C44" i="5" s="1"/>
  <c r="C46" i="5" s="1"/>
  <c r="C47" i="5" s="1"/>
  <c r="AE143" i="4"/>
  <c r="M934" i="3"/>
  <c r="E933" i="3"/>
  <c r="M933" i="3" s="1"/>
  <c r="G538" i="3"/>
  <c r="E1041" i="3"/>
  <c r="E1028" i="3"/>
  <c r="D863" i="3"/>
  <c r="D852" i="3"/>
  <c r="G457" i="3"/>
  <c r="S456" i="3"/>
  <c r="G21" i="7"/>
  <c r="J281" i="2"/>
  <c r="J285" i="2" s="1"/>
  <c r="R456" i="3"/>
  <c r="F457" i="3"/>
  <c r="H367" i="3"/>
  <c r="H387" i="3"/>
  <c r="E33" i="11"/>
  <c r="D56" i="11" s="1"/>
  <c r="E23" i="11"/>
  <c r="E34" i="11" s="1"/>
  <c r="E26" i="11"/>
  <c r="G387" i="3"/>
  <c r="G367" i="3"/>
  <c r="L934" i="3"/>
  <c r="D933" i="3"/>
  <c r="L933" i="3" s="1"/>
  <c r="D1041" i="3"/>
  <c r="D1028" i="3"/>
  <c r="F33" i="11"/>
  <c r="F26" i="11"/>
  <c r="F23" i="11"/>
  <c r="F34" i="11" s="1"/>
  <c r="D1044" i="3"/>
  <c r="D1032" i="3"/>
  <c r="AE144" i="4"/>
  <c r="AE145" i="4" s="1"/>
  <c r="P954" i="3"/>
  <c r="F955" i="3"/>
  <c r="AA147" i="4"/>
  <c r="AA148" i="4" s="1"/>
  <c r="G14" i="11"/>
  <c r="F956" i="3"/>
  <c r="P956" i="3" s="1"/>
  <c r="BD144" i="4"/>
  <c r="AA145" i="4"/>
  <c r="M236" i="2"/>
  <c r="M235" i="2"/>
  <c r="J368" i="3"/>
  <c r="J388" i="3" s="1"/>
  <c r="M237" i="2"/>
  <c r="M238" i="2" s="1"/>
  <c r="L37" i="7"/>
  <c r="AA109" i="4"/>
  <c r="AA140" i="4"/>
  <c r="AA143" i="4" s="1"/>
  <c r="I309" i="2"/>
  <c r="I291" i="2"/>
  <c r="I294" i="2" s="1"/>
  <c r="O237" i="2"/>
  <c r="O238" i="2" s="1"/>
  <c r="N37" i="7"/>
  <c r="O236" i="2"/>
  <c r="O235" i="2"/>
  <c r="L368" i="3"/>
  <c r="L388" i="3" s="1"/>
  <c r="I306" i="2"/>
  <c r="H43" i="7"/>
  <c r="J304" i="2"/>
  <c r="I18" i="5"/>
  <c r="E24" i="11"/>
  <c r="E35" i="11" s="1"/>
  <c r="D936" i="3"/>
  <c r="L936" i="3" s="1"/>
  <c r="F458" i="3"/>
  <c r="R458" i="3" s="1"/>
  <c r="J237" i="2"/>
  <c r="J238" i="2" s="1"/>
  <c r="I394" i="3" s="1"/>
  <c r="I37" i="7"/>
  <c r="J236" i="2"/>
  <c r="J235" i="2"/>
  <c r="G368" i="3"/>
  <c r="G388" i="3" s="1"/>
  <c r="K234" i="2"/>
  <c r="E1031" i="3" l="1"/>
  <c r="E1032" i="3" s="1"/>
  <c r="F25" i="7"/>
  <c r="G25" i="7" s="1"/>
  <c r="F26" i="7"/>
  <c r="D7" i="7"/>
  <c r="D10" i="7" s="1"/>
  <c r="D28" i="7"/>
  <c r="D49" i="5"/>
  <c r="C460" i="3"/>
  <c r="O460" i="3" s="1"/>
  <c r="J18" i="5"/>
  <c r="J306" i="2"/>
  <c r="I43" i="7"/>
  <c r="K304" i="2"/>
  <c r="I7" i="5"/>
  <c r="H368" i="3"/>
  <c r="H388" i="3" s="1"/>
  <c r="F24" i="11"/>
  <c r="F35" i="11" s="1"/>
  <c r="E936" i="3"/>
  <c r="M936" i="3" s="1"/>
  <c r="P234" i="2"/>
  <c r="G458" i="3"/>
  <c r="S458" i="3" s="1"/>
  <c r="K237" i="2"/>
  <c r="J37" i="7"/>
  <c r="K236" i="2"/>
  <c r="K235" i="2"/>
  <c r="I307" i="2"/>
  <c r="H44" i="7"/>
  <c r="J31" i="5"/>
  <c r="L12" i="7" s="1"/>
  <c r="K285" i="2"/>
  <c r="J309" i="2"/>
  <c r="J291" i="2"/>
  <c r="J294" i="2" s="1"/>
  <c r="I44" i="7" s="1"/>
  <c r="E1044" i="3" l="1"/>
  <c r="E7" i="7"/>
  <c r="E10" i="7" s="1"/>
  <c r="E28" i="7"/>
  <c r="K306" i="2"/>
  <c r="J43" i="7"/>
  <c r="L304" i="2"/>
  <c r="K18" i="5"/>
  <c r="H46" i="7"/>
  <c r="I19" i="5"/>
  <c r="I21" i="5" s="1"/>
  <c r="P237" i="2"/>
  <c r="K238" i="2"/>
  <c r="K291" i="2"/>
  <c r="K294" i="2" s="1"/>
  <c r="J44" i="7" s="1"/>
  <c r="L285" i="2"/>
  <c r="K309" i="2"/>
  <c r="J307" i="2"/>
  <c r="J7" i="5"/>
  <c r="K31" i="5"/>
  <c r="M12" i="7" s="1"/>
  <c r="K7" i="5" l="1"/>
  <c r="F7" i="7"/>
  <c r="F10" i="7" s="1"/>
  <c r="F28" i="7"/>
  <c r="I46" i="7"/>
  <c r="J19" i="5"/>
  <c r="J21" i="5" s="1"/>
  <c r="K19" i="5"/>
  <c r="K21" i="5" s="1"/>
  <c r="J46" i="7"/>
  <c r="L306" i="2"/>
  <c r="K43" i="7"/>
  <c r="M304" i="2"/>
  <c r="L18" i="5"/>
  <c r="L31" i="5"/>
  <c r="L291" i="2"/>
  <c r="L294" i="2" s="1"/>
  <c r="K44" i="7" s="1"/>
  <c r="M285" i="2"/>
  <c r="L309" i="2"/>
  <c r="L7" i="5" s="1"/>
  <c r="K307" i="2"/>
  <c r="M291" i="2" l="1"/>
  <c r="M294" i="2" s="1"/>
  <c r="N285" i="2"/>
  <c r="M309" i="2"/>
  <c r="M7" i="5" s="1"/>
  <c r="L307" i="2"/>
  <c r="N304" i="2"/>
  <c r="M306" i="2"/>
  <c r="L43" i="7"/>
  <c r="M18" i="5"/>
  <c r="M31" i="5"/>
  <c r="K46" i="7"/>
  <c r="L19" i="5"/>
  <c r="L21" i="5" s="1"/>
  <c r="M307" i="2" l="1"/>
  <c r="O304" i="2"/>
  <c r="N306" i="2"/>
  <c r="N18" i="5"/>
  <c r="M43" i="7"/>
  <c r="N31" i="5"/>
  <c r="N291" i="2"/>
  <c r="N294" i="2" s="1"/>
  <c r="O285" i="2"/>
  <c r="N309" i="2"/>
  <c r="N7" i="5" s="1"/>
  <c r="L44" i="7"/>
  <c r="L46" i="7"/>
  <c r="M19" i="5"/>
  <c r="M21" i="5" s="1"/>
  <c r="M46" i="7" l="1"/>
  <c r="N19" i="5"/>
  <c r="O291" i="2"/>
  <c r="O294" i="2" s="1"/>
  <c r="N44" i="7" s="1"/>
  <c r="O309" i="2"/>
  <c r="O7" i="5" s="1"/>
  <c r="N21" i="5"/>
  <c r="N307" i="2"/>
  <c r="O306" i="2"/>
  <c r="N43" i="7"/>
  <c r="O18" i="5"/>
  <c r="O31" i="5"/>
  <c r="M44" i="7"/>
  <c r="N46" i="7" l="1"/>
  <c r="O19" i="5"/>
  <c r="O21" i="5" s="1"/>
  <c r="O307" i="2"/>
  <c r="I251" i="2"/>
  <c r="I241" i="2" s="1"/>
  <c r="I243" i="2" s="1"/>
  <c r="I246" i="2" s="1"/>
  <c r="J251" i="2"/>
  <c r="K251" i="2" s="1"/>
  <c r="K241" i="2" l="1"/>
  <c r="K243" i="2" s="1"/>
  <c r="K246" i="2" s="1"/>
  <c r="L251" i="2"/>
  <c r="I5" i="5"/>
  <c r="I254" i="2"/>
  <c r="J241" i="2"/>
  <c r="J243" i="2" s="1"/>
  <c r="J246" i="2" s="1"/>
  <c r="J254" i="2" l="1"/>
  <c r="J5" i="5"/>
  <c r="I6" i="5"/>
  <c r="H45" i="7"/>
  <c r="L241" i="2"/>
  <c r="L243" i="2" s="1"/>
  <c r="L246" i="2" s="1"/>
  <c r="M251" i="2"/>
  <c r="K254" i="2"/>
  <c r="K5" i="5"/>
  <c r="M241" i="2" l="1"/>
  <c r="M243" i="2" s="1"/>
  <c r="M246" i="2" s="1"/>
  <c r="N251" i="2"/>
  <c r="L254" i="2"/>
  <c r="L5" i="5"/>
  <c r="I9" i="5"/>
  <c r="I16" i="5"/>
  <c r="K9" i="7" s="1"/>
  <c r="J6" i="5"/>
  <c r="I45" i="7"/>
  <c r="K6" i="5"/>
  <c r="J45" i="7"/>
  <c r="I15" i="5" l="1"/>
  <c r="K7" i="7" s="1"/>
  <c r="I14" i="5"/>
  <c r="K6" i="7" s="1"/>
  <c r="I11" i="5"/>
  <c r="I13" i="5"/>
  <c r="K5" i="7" s="1"/>
  <c r="I12" i="5"/>
  <c r="K4" i="7" s="1"/>
  <c r="N241" i="2"/>
  <c r="N243" i="2" s="1"/>
  <c r="N246" i="2" s="1"/>
  <c r="O251" i="2"/>
  <c r="O241" i="2" s="1"/>
  <c r="O243" i="2" s="1"/>
  <c r="O246" i="2" s="1"/>
  <c r="G26" i="7"/>
  <c r="L6" i="5"/>
  <c r="K45" i="7"/>
  <c r="J9" i="5"/>
  <c r="J16" i="5"/>
  <c r="L9" i="7" s="1"/>
  <c r="K9" i="5"/>
  <c r="K16" i="5"/>
  <c r="M9" i="7" s="1"/>
  <c r="M254" i="2"/>
  <c r="M5" i="5"/>
  <c r="O5" i="5" l="1"/>
  <c r="O254" i="2"/>
  <c r="K12" i="5"/>
  <c r="M4" i="7" s="1"/>
  <c r="K13" i="5"/>
  <c r="M5" i="7" s="1"/>
  <c r="K11" i="5"/>
  <c r="K15" i="5"/>
  <c r="M7" i="7" s="1"/>
  <c r="K14" i="5"/>
  <c r="M6" i="7" s="1"/>
  <c r="N5" i="5"/>
  <c r="N254" i="2"/>
  <c r="L9" i="5"/>
  <c r="L16" i="5"/>
  <c r="J11" i="5"/>
  <c r="J12" i="5"/>
  <c r="L4" i="7" s="1"/>
  <c r="J15" i="5"/>
  <c r="L7" i="7" s="1"/>
  <c r="J14" i="5"/>
  <c r="L6" i="7" s="1"/>
  <c r="J13" i="5"/>
  <c r="L5" i="7" s="1"/>
  <c r="M6" i="5"/>
  <c r="L45" i="7"/>
  <c r="M45" i="7" l="1"/>
  <c r="N6" i="5"/>
  <c r="L13" i="5"/>
  <c r="L12" i="5"/>
  <c r="L11" i="5"/>
  <c r="L15" i="5"/>
  <c r="L14" i="5"/>
  <c r="M9" i="5"/>
  <c r="M16" i="5"/>
  <c r="O6" i="5"/>
  <c r="N45" i="7"/>
  <c r="O16" i="5" l="1"/>
  <c r="O9" i="5"/>
  <c r="N16" i="5"/>
  <c r="N9" i="5"/>
  <c r="M14" i="5"/>
  <c r="M15" i="5"/>
  <c r="M13" i="5"/>
  <c r="M12" i="5"/>
  <c r="M11" i="5"/>
  <c r="N15" i="5" l="1"/>
  <c r="N14" i="5"/>
  <c r="N13" i="5"/>
  <c r="N12" i="5"/>
  <c r="N11" i="5"/>
  <c r="O15" i="5"/>
  <c r="O14" i="5"/>
  <c r="O13" i="5"/>
  <c r="O12" i="5"/>
  <c r="O11" i="5"/>
  <c r="G1068" i="3" l="1"/>
  <c r="H1068" i="3"/>
  <c r="K1068" i="3"/>
  <c r="G1069" i="3"/>
  <c r="H1069" i="3"/>
  <c r="K1069" i="3"/>
  <c r="G1096" i="3"/>
  <c r="H1096" i="3"/>
  <c r="K1096" i="3"/>
  <c r="G1097" i="3"/>
  <c r="H1097" i="3"/>
  <c r="K1097" i="3"/>
  <c r="H146" i="2"/>
  <c r="H149" i="2"/>
  <c r="H151" i="2"/>
  <c r="H153" i="2"/>
  <c r="H163" i="2"/>
  <c r="H164" i="2"/>
  <c r="G241" i="2"/>
  <c r="G242" i="2"/>
  <c r="G251" i="2"/>
  <c r="G253" i="2"/>
  <c r="G254" i="2"/>
  <c r="V33" i="4"/>
  <c r="W33" i="4"/>
  <c r="AA33" i="4"/>
  <c r="AG33" i="4"/>
  <c r="V34" i="4"/>
  <c r="W34" i="4"/>
  <c r="AA34" i="4"/>
  <c r="AG34" i="4"/>
  <c r="AG35" i="4"/>
  <c r="V91" i="4"/>
  <c r="W91" i="4"/>
  <c r="AA91" i="4"/>
  <c r="AG91" i="4"/>
  <c r="V92" i="4"/>
  <c r="W92" i="4"/>
  <c r="AA92" i="4"/>
  <c r="AG92" i="4"/>
  <c r="AG93" i="4"/>
  <c r="L250" i="9"/>
  <c r="M250" i="9"/>
  <c r="L251" i="9"/>
  <c r="M251" i="9"/>
  <c r="L253" i="9"/>
  <c r="M253" i="9"/>
  <c r="L254" i="9"/>
  <c r="M254" i="9"/>
  <c r="L255" i="9"/>
  <c r="M255" i="9"/>
  <c r="L256" i="9"/>
  <c r="M256" i="9"/>
  <c r="L257" i="9"/>
  <c r="M257" i="9"/>
  <c r="L258" i="9"/>
  <c r="M258" i="9"/>
  <c r="L259" i="9"/>
  <c r="M259" i="9"/>
  <c r="L260" i="9"/>
  <c r="M260" i="9"/>
  <c r="L263" i="9"/>
  <c r="M263" i="9"/>
  <c r="L264" i="9"/>
  <c r="M264" i="9"/>
  <c r="L265" i="9"/>
  <c r="M265" i="9"/>
  <c r="L266" i="9"/>
  <c r="M266" i="9"/>
  <c r="L267" i="9"/>
  <c r="M267" i="9"/>
  <c r="L268" i="9"/>
  <c r="M268" i="9"/>
  <c r="L269" i="9"/>
  <c r="M2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author>
    <author>Soomit Datta</author>
  </authors>
  <commentList>
    <comment ref="F67" authorId="0" shapeId="0" xr:uid="{6F132567-E7DD-473E-97EE-8B19800B2CE1}">
      <text>
        <r>
          <rPr>
            <b/>
            <sz val="9"/>
            <color indexed="81"/>
            <rFont val="Tahoma"/>
            <family val="2"/>
          </rPr>
          <t>Eduardo:</t>
        </r>
        <r>
          <rPr>
            <sz val="9"/>
            <color indexed="81"/>
            <rFont val="Tahoma"/>
            <family val="2"/>
          </rPr>
          <t xml:space="preserve">
400+</t>
        </r>
      </text>
    </comment>
    <comment ref="G67" authorId="0" shapeId="0" xr:uid="{AF550653-868B-4E58-95B6-BA506B784E23}">
      <text>
        <r>
          <rPr>
            <b/>
            <sz val="9"/>
            <color indexed="81"/>
            <rFont val="Tahoma"/>
            <family val="2"/>
          </rPr>
          <t>Eduardo:</t>
        </r>
        <r>
          <rPr>
            <sz val="9"/>
            <color indexed="81"/>
            <rFont val="Tahoma"/>
            <family val="2"/>
          </rPr>
          <t xml:space="preserve">
600+</t>
        </r>
      </text>
    </comment>
    <comment ref="E178" authorId="1" shapeId="0" xr:uid="{5B16BF3E-1EA7-438C-8D6D-15C911FA87E7}">
      <text>
        <r>
          <rPr>
            <b/>
            <sz val="9"/>
            <color indexed="81"/>
            <rFont val="Tahoma"/>
            <family val="2"/>
          </rPr>
          <t>Soomit Datta:</t>
        </r>
        <r>
          <rPr>
            <sz val="9"/>
            <color indexed="81"/>
            <rFont val="Tahoma"/>
            <family val="2"/>
          </rPr>
          <t xml:space="preserve">
159% clean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Soomit Datta</author>
    <author>Eduardo</author>
  </authors>
  <commentList>
    <comment ref="O7" authorId="0" shapeId="0" xr:uid="{61276672-ECB3-4EBC-9432-A9F01F3D066F}">
      <text>
        <r>
          <rPr>
            <b/>
            <sz val="9"/>
            <color indexed="81"/>
            <rFont val="Tahoma"/>
            <family val="2"/>
          </rPr>
          <t>Soomit Datta:</t>
        </r>
        <r>
          <rPr>
            <sz val="9"/>
            <color indexed="81"/>
            <rFont val="Tahoma"/>
            <family val="2"/>
          </rPr>
          <t xml:space="preserve">
close to three quarters for last 23 quarters (Q2 22 call)</t>
        </r>
      </text>
    </comment>
    <comment ref="P7" authorId="0" shapeId="0" xr:uid="{53344F96-F947-4D92-BFED-E88F74F1E918}">
      <text>
        <r>
          <rPr>
            <b/>
            <sz val="9"/>
            <color indexed="81"/>
            <rFont val="Tahoma"/>
            <family val="2"/>
          </rPr>
          <t>Soomit Datta:</t>
        </r>
        <r>
          <rPr>
            <sz val="9"/>
            <color indexed="81"/>
            <rFont val="Tahoma"/>
            <family val="2"/>
          </rPr>
          <t xml:space="preserve">
close to three quarters for last 23 quarters (Q2 22 call)</t>
        </r>
      </text>
    </comment>
    <comment ref="O14" authorId="0" shapeId="0" xr:uid="{5416895A-0110-4456-8AF2-B4FA3381420E}">
      <text>
        <r>
          <rPr>
            <b/>
            <sz val="9"/>
            <color indexed="81"/>
            <rFont val="Tahoma"/>
            <family val="2"/>
          </rPr>
          <t>Soomit Datta:</t>
        </r>
        <r>
          <rPr>
            <sz val="9"/>
            <color indexed="81"/>
            <rFont val="Tahoma"/>
            <family val="2"/>
          </rPr>
          <t xml:space="preserve">
"close to one third"</t>
        </r>
      </text>
    </comment>
    <comment ref="P14" authorId="0" shapeId="0" xr:uid="{78FFB603-CC65-4F03-92EC-0E9EF21B9154}">
      <text>
        <r>
          <rPr>
            <b/>
            <sz val="9"/>
            <color indexed="81"/>
            <rFont val="Tahoma"/>
            <family val="2"/>
          </rPr>
          <t>Soomit Datta:</t>
        </r>
        <r>
          <rPr>
            <sz val="9"/>
            <color indexed="81"/>
            <rFont val="Tahoma"/>
            <family val="2"/>
          </rPr>
          <t xml:space="preserve">
"close to one third"</t>
        </r>
      </text>
    </comment>
    <comment ref="Q15" authorId="0" shapeId="0" xr:uid="{3E79C94B-0CC2-4616-9F02-166282B79623}">
      <text>
        <r>
          <rPr>
            <b/>
            <sz val="9"/>
            <color indexed="81"/>
            <rFont val="Tahoma"/>
            <family val="2"/>
          </rPr>
          <t>Soomit Datta:</t>
        </r>
        <r>
          <rPr>
            <sz val="9"/>
            <color indexed="81"/>
            <rFont val="Tahoma"/>
            <family val="2"/>
          </rPr>
          <t xml:space="preserve">
Argentina impact</t>
        </r>
      </text>
    </comment>
    <comment ref="B47" authorId="0" shapeId="0" xr:uid="{9E93DAE4-FED7-4C20-88C0-55915879582F}">
      <text>
        <r>
          <rPr>
            <b/>
            <sz val="9"/>
            <color indexed="81"/>
            <rFont val="Tahoma"/>
            <family val="2"/>
          </rPr>
          <t>Soomit Datta:</t>
        </r>
        <r>
          <rPr>
            <sz val="9"/>
            <color indexed="81"/>
            <rFont val="Tahoma"/>
            <family val="2"/>
          </rPr>
          <t xml:space="preserve">
Includes invoice process servicing, as of Q3 22</t>
        </r>
      </text>
    </comment>
    <comment ref="K186" authorId="1" shapeId="0" xr:uid="{2B8BB8A9-9989-4F5A-9A69-4D980B5AF091}">
      <text>
        <r>
          <rPr>
            <b/>
            <sz val="9"/>
            <color indexed="81"/>
            <rFont val="Tahoma"/>
            <family val="2"/>
          </rPr>
          <t>Eduardo:</t>
        </r>
        <r>
          <rPr>
            <sz val="9"/>
            <color indexed="81"/>
            <rFont val="Tahoma"/>
            <family val="2"/>
          </rPr>
          <t xml:space="preserve">
Restricted cash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Soomit Datta</author>
  </authors>
  <commentList>
    <comment ref="H243" authorId="0" shapeId="0" xr:uid="{01C86992-FB73-4D55-BD3A-D4CD19241BBE}">
      <text>
        <r>
          <rPr>
            <b/>
            <sz val="9"/>
            <color indexed="81"/>
            <rFont val="Tahoma"/>
            <family val="2"/>
          </rPr>
          <t>Soomit Datta:</t>
        </r>
        <r>
          <rPr>
            <sz val="9"/>
            <color indexed="81"/>
            <rFont val="Tahoma"/>
            <family val="2"/>
          </rPr>
          <t xml:space="preserve">
Share based compensation, excluded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Eduardo</author>
  </authors>
  <commentList>
    <comment ref="B34" authorId="0" shapeId="0" xr:uid="{6C6882CA-4D56-4263-936B-04DD474A9378}">
      <text>
        <r>
          <rPr>
            <b/>
            <sz val="9"/>
            <color indexed="81"/>
            <rFont val="Tahoma"/>
            <family val="2"/>
          </rPr>
          <t>Eduardo:</t>
        </r>
        <r>
          <rPr>
            <sz val="9"/>
            <color indexed="81"/>
            <rFont val="Tahoma"/>
            <family val="2"/>
          </rPr>
          <t xml:space="preserve">
PAGS and DLO report gross, so select a gross and net. Others report net</t>
        </r>
      </text>
    </comment>
  </commentList>
</comments>
</file>

<file path=xl/sharedStrings.xml><?xml version="1.0" encoding="utf-8"?>
<sst xmlns="http://schemas.openxmlformats.org/spreadsheetml/2006/main" count="2946" uniqueCount="2136">
  <si>
    <t>TPV</t>
  </si>
  <si>
    <t>Revenue</t>
  </si>
  <si>
    <t>USD million</t>
  </si>
  <si>
    <t>EBITDA</t>
  </si>
  <si>
    <t>margin</t>
  </si>
  <si>
    <t>Q1 21</t>
  </si>
  <si>
    <t>Q1 20</t>
  </si>
  <si>
    <t>Brazil, Mexico, Argentina, Chile, Colombia, India</t>
  </si>
  <si>
    <t>89% of revenue, 93% of TPV (Q1 2020)</t>
  </si>
  <si>
    <t>Pay-in &amp; pay-out</t>
  </si>
  <si>
    <t xml:space="preserve"> Pay-in</t>
  </si>
  <si>
    <t xml:space="preserve"> Pay-out</t>
  </si>
  <si>
    <t>payments from customers to Dlocal merchants</t>
  </si>
  <si>
    <t>Paid by Dlocal merchants to local subsids</t>
  </si>
  <si>
    <t>USD billion TPV (all markets)</t>
  </si>
  <si>
    <t xml:space="preserve"> - of which</t>
  </si>
  <si>
    <t xml:space="preserve">    local to local</t>
  </si>
  <si>
    <t xml:space="preserve">    cross border</t>
  </si>
  <si>
    <t>Pay-out</t>
  </si>
  <si>
    <t>driven by remote work dampened travel, ride hailing and remittances</t>
  </si>
  <si>
    <t>Average merchant</t>
  </si>
  <si>
    <t>6 different countries, 44 different payment methods</t>
  </si>
  <si>
    <t>$6m TPV/year</t>
  </si>
  <si>
    <t>Merchants</t>
  </si>
  <si>
    <t>merchants making up 92% of TPV</t>
  </si>
  <si>
    <t>2020 TPV for merchants &gt;$6m per annum</t>
  </si>
  <si>
    <t>Growth</t>
  </si>
  <si>
    <t>Number of merchants</t>
  </si>
  <si>
    <t>~330  today?</t>
  </si>
  <si>
    <t>What level are they growing at</t>
  </si>
  <si>
    <t>Netflix</t>
  </si>
  <si>
    <t>Google</t>
  </si>
  <si>
    <t>Facebook</t>
  </si>
  <si>
    <t>Uber</t>
  </si>
  <si>
    <t>Visa</t>
  </si>
  <si>
    <t>Nike Rappi</t>
  </si>
  <si>
    <t>Trp Advisor</t>
  </si>
  <si>
    <t>Banggood.com</t>
  </si>
  <si>
    <t>Booking.com</t>
  </si>
  <si>
    <t>Dropbox</t>
  </si>
  <si>
    <t>GoDaddy</t>
  </si>
  <si>
    <t>InDriver</t>
  </si>
  <si>
    <t>Amazon</t>
  </si>
  <si>
    <t>Microsoft</t>
  </si>
  <si>
    <t>Spotify</t>
  </si>
  <si>
    <t>Mailchimp</t>
  </si>
  <si>
    <t>Wix</t>
  </si>
  <si>
    <t>Wikimedia</t>
  </si>
  <si>
    <t>Kuaishou</t>
  </si>
  <si>
    <t>TPV, USD bn</t>
  </si>
  <si>
    <t>Total E-Commerce TPV, USD bn</t>
  </si>
  <si>
    <t>Pay-in</t>
  </si>
  <si>
    <t>Gross</t>
  </si>
  <si>
    <t>Net</t>
  </si>
  <si>
    <t>Implied retail EM, USD bn</t>
  </si>
  <si>
    <t>Total merchants</t>
  </si>
  <si>
    <t>assumed %</t>
  </si>
  <si>
    <t>as %</t>
  </si>
  <si>
    <t>% growth in retail</t>
  </si>
  <si>
    <t>% growth</t>
  </si>
  <si>
    <t>TPV/merchant, $ million</t>
  </si>
  <si>
    <t>X-border</t>
  </si>
  <si>
    <t>Transaction revenue</t>
  </si>
  <si>
    <t>Other</t>
  </si>
  <si>
    <t>Brazil</t>
  </si>
  <si>
    <t>Total</t>
  </si>
  <si>
    <t>Domestic</t>
  </si>
  <si>
    <t>India</t>
  </si>
  <si>
    <t>Mexico</t>
  </si>
  <si>
    <t>Nigeria</t>
  </si>
  <si>
    <t>Turkey</t>
  </si>
  <si>
    <t>Colombia</t>
  </si>
  <si>
    <t>Indonesia</t>
  </si>
  <si>
    <t>na</t>
  </si>
  <si>
    <t>Chile</t>
  </si>
  <si>
    <t>Argentina</t>
  </si>
  <si>
    <t>Peru</t>
  </si>
  <si>
    <t>Pay-in (E-Comm spend)</t>
  </si>
  <si>
    <t>LatAm</t>
  </si>
  <si>
    <t>Other LatAm</t>
  </si>
  <si>
    <t>EM ex-China</t>
  </si>
  <si>
    <t>LatAm Pay-in</t>
  </si>
  <si>
    <t>X-Border Pay-in</t>
  </si>
  <si>
    <t>EM ex-China Pay-in</t>
  </si>
  <si>
    <t>X-Border LatAm Pay-in</t>
  </si>
  <si>
    <t>X-Border EM ex-China Pay-in</t>
  </si>
  <si>
    <t>Domestic Pay-in</t>
  </si>
  <si>
    <t>Domestic LatAm Pay-in</t>
  </si>
  <si>
    <t>Domestic EM ex-China Pay-in</t>
  </si>
  <si>
    <t>Total Pay-out</t>
  </si>
  <si>
    <t>International remittances</t>
  </si>
  <si>
    <t>Ride hailing, delivery, property rentals</t>
  </si>
  <si>
    <t>dLocal TPV</t>
  </si>
  <si>
    <t>LatAm TPV</t>
  </si>
  <si>
    <t>TPV ex LatAm</t>
  </si>
  <si>
    <t>X-border TPV</t>
  </si>
  <si>
    <t>Local to local TPV</t>
  </si>
  <si>
    <t>Q1 19</t>
  </si>
  <si>
    <t>Q2 19</t>
  </si>
  <si>
    <t>Q3 19</t>
  </si>
  <si>
    <t>Q4 19</t>
  </si>
  <si>
    <t>Q2 20</t>
  </si>
  <si>
    <t>Q3 20</t>
  </si>
  <si>
    <t>Q4 20</t>
  </si>
  <si>
    <t>COGS</t>
  </si>
  <si>
    <t>Gross profit</t>
  </si>
  <si>
    <t>% margin</t>
  </si>
  <si>
    <t>Op profit</t>
  </si>
  <si>
    <t>D&amp;A</t>
  </si>
  <si>
    <t>PBT</t>
  </si>
  <si>
    <t>Net income</t>
  </si>
  <si>
    <t>Tax</t>
  </si>
  <si>
    <t>Financials</t>
  </si>
  <si>
    <t>Share payments</t>
  </si>
  <si>
    <t>Impairment</t>
  </si>
  <si>
    <t>Other gains/losses</t>
  </si>
  <si>
    <t>Cost of services</t>
  </si>
  <si>
    <t>Net revenue</t>
  </si>
  <si>
    <t>Processing costs (Interchange fees/card fees, FX)</t>
  </si>
  <si>
    <t>as % processing revenue</t>
  </si>
  <si>
    <t>Profit and Loss, USD million</t>
  </si>
  <si>
    <t>Freelance Pay-out (mainly India)</t>
  </si>
  <si>
    <t>dLocal TPV as % EM Pay-in</t>
  </si>
  <si>
    <t>dLocal TPV as % EM X-border Pay-in</t>
  </si>
  <si>
    <t>dLocal LatAm TPV as % LatAm Pay-in</t>
  </si>
  <si>
    <t>dLocal LatAm TPV as % LatAm X-Border Pay-in</t>
  </si>
  <si>
    <t>Total EM Pay-in</t>
  </si>
  <si>
    <t xml:space="preserve"> - of which processing</t>
  </si>
  <si>
    <t>USD millions</t>
  </si>
  <si>
    <t>% change</t>
  </si>
  <si>
    <t>Gross revenue</t>
  </si>
  <si>
    <t>Operating profit</t>
  </si>
  <si>
    <t>Tech and dev</t>
  </si>
  <si>
    <t>S&amp;M</t>
  </si>
  <si>
    <t>G&amp;A</t>
  </si>
  <si>
    <t>Impairment/other</t>
  </si>
  <si>
    <t>(Within other expenses)</t>
  </si>
  <si>
    <t>Share based expenses</t>
  </si>
  <si>
    <t>Adjs for EBITDA</t>
  </si>
  <si>
    <t>Offering expenses</t>
  </si>
  <si>
    <t>Inflation adj</t>
  </si>
  <si>
    <t>Impairment loss</t>
  </si>
  <si>
    <t>Other operating gain</t>
  </si>
  <si>
    <t>check</t>
  </si>
  <si>
    <t>Net financial expenses</t>
  </si>
  <si>
    <t>Balance sheet</t>
  </si>
  <si>
    <t>Cash</t>
  </si>
  <si>
    <t>Current assets</t>
  </si>
  <si>
    <t>Non-current</t>
  </si>
  <si>
    <t>Current liabilities</t>
  </si>
  <si>
    <t>Equity</t>
  </si>
  <si>
    <t>Total liabilities and equity</t>
  </si>
  <si>
    <t>Cash flow</t>
  </si>
  <si>
    <t>Capex</t>
  </si>
  <si>
    <t>Interest</t>
  </si>
  <si>
    <t>as % sales</t>
  </si>
  <si>
    <t>Payable</t>
  </si>
  <si>
    <t>Change in accounts receivable</t>
  </si>
  <si>
    <t>Change in accounts payable</t>
  </si>
  <si>
    <t>Change in working capital</t>
  </si>
  <si>
    <t>Dividend</t>
  </si>
  <si>
    <t>Acquisitions / divestments</t>
  </si>
  <si>
    <t>Proceeds from offering</t>
  </si>
  <si>
    <t>Total assets</t>
  </si>
  <si>
    <t>as % revenue</t>
  </si>
  <si>
    <t>Net cash, inc receivables/payables</t>
  </si>
  <si>
    <t>SHOUT</t>
  </si>
  <si>
    <t>IPO price</t>
  </si>
  <si>
    <t>Sold down</t>
  </si>
  <si>
    <t>IPO size</t>
  </si>
  <si>
    <t xml:space="preserve"> of which primary</t>
  </si>
  <si>
    <t>Common share</t>
  </si>
  <si>
    <t>Issued</t>
  </si>
  <si>
    <t>Share price, USD</t>
  </si>
  <si>
    <t>BRL million</t>
  </si>
  <si>
    <t>SHOUT, millions</t>
  </si>
  <si>
    <t>Net debt (adj receivables)</t>
  </si>
  <si>
    <t>Cumulative dividend</t>
  </si>
  <si>
    <t>EV</t>
  </si>
  <si>
    <t>EV/EBITDA</t>
  </si>
  <si>
    <t>P/E</t>
  </si>
  <si>
    <t>Net debt</t>
  </si>
  <si>
    <t>Invested Capital</t>
  </si>
  <si>
    <t>EBIT</t>
  </si>
  <si>
    <t>Normalised tax</t>
  </si>
  <si>
    <t>NOPLAT</t>
  </si>
  <si>
    <t>ROE</t>
  </si>
  <si>
    <t>EV/Revenue (gross)</t>
  </si>
  <si>
    <t>EV/Revenue (net)</t>
  </si>
  <si>
    <t>Receivables</t>
  </si>
  <si>
    <t>dLocal countries average</t>
  </si>
  <si>
    <t>Cross-border TAM</t>
  </si>
  <si>
    <t>USD billion</t>
  </si>
  <si>
    <t>Other dLocal</t>
  </si>
  <si>
    <t>Ex-India</t>
  </si>
  <si>
    <t>Inc   India</t>
  </si>
  <si>
    <t>Group reported</t>
  </si>
  <si>
    <t>Top 14</t>
  </si>
  <si>
    <t>Egypt</t>
  </si>
  <si>
    <t>Morocco</t>
  </si>
  <si>
    <t>Paraguay</t>
  </si>
  <si>
    <t>South Africa</t>
  </si>
  <si>
    <t>Uruguay</t>
  </si>
  <si>
    <t>Top 14 ex-India</t>
  </si>
  <si>
    <t>X-border LatAm TPV</t>
  </si>
  <si>
    <t>Pay-in (TAM)</t>
  </si>
  <si>
    <t>Pay-out (TAM)</t>
  </si>
  <si>
    <t>% of which Pay-in</t>
  </si>
  <si>
    <t>Pay-in TPV, USD bn</t>
  </si>
  <si>
    <t>dLocal share</t>
  </si>
  <si>
    <t>Total Pay-in TAM</t>
  </si>
  <si>
    <t>Total LatAm Pay-in TAM</t>
  </si>
  <si>
    <t>Total Cross-border Pay-in TAM</t>
  </si>
  <si>
    <t>Total LatAm Cross-border Pay-in TAM</t>
  </si>
  <si>
    <t>LatAm Pay-out</t>
  </si>
  <si>
    <t>As % EM Pay-out TAM (ex freelance)</t>
  </si>
  <si>
    <t>Pay-out TAM</t>
  </si>
  <si>
    <t>Take-rate</t>
  </si>
  <si>
    <t>as % Pay-in</t>
  </si>
  <si>
    <t>NRR</t>
  </si>
  <si>
    <t>New merchants</t>
  </si>
  <si>
    <t>Adds</t>
  </si>
  <si>
    <t>Consensus</t>
  </si>
  <si>
    <t>MS</t>
  </si>
  <si>
    <t>UBS</t>
  </si>
  <si>
    <t>EBITDA margin</t>
  </si>
  <si>
    <t>Simple take</t>
  </si>
  <si>
    <t>Citi</t>
  </si>
  <si>
    <t>JPM</t>
  </si>
  <si>
    <t>NSR</t>
  </si>
  <si>
    <t>NSR vs consensus</t>
  </si>
  <si>
    <t>NSR vs consensus (ex MS)</t>
  </si>
  <si>
    <t>Total TPV</t>
  </si>
  <si>
    <t>DLocal TPV</t>
  </si>
  <si>
    <t>Share</t>
  </si>
  <si>
    <t>Uber *</t>
  </si>
  <si>
    <t>* Assume ride bookings split for LatAm same as revenue</t>
  </si>
  <si>
    <t>Adyens</t>
  </si>
  <si>
    <t>North America</t>
  </si>
  <si>
    <t>Europe</t>
  </si>
  <si>
    <t>Asia Pacific</t>
  </si>
  <si>
    <t>Latin America</t>
  </si>
  <si>
    <t>Revs</t>
  </si>
  <si>
    <t>Group</t>
  </si>
  <si>
    <t>Take</t>
  </si>
  <si>
    <t xml:space="preserve">EUR </t>
  </si>
  <si>
    <t>New revenue from existing clients</t>
  </si>
  <si>
    <t>Total new revenue</t>
  </si>
  <si>
    <t>Prior 12m cohort incr revs</t>
  </si>
  <si>
    <t xml:space="preserve"> - of which transactions</t>
  </si>
  <si>
    <t xml:space="preserve"> - of which other</t>
  </si>
  <si>
    <t>as % revs</t>
  </si>
  <si>
    <t>Other expenses (incs D&amp;A)</t>
  </si>
  <si>
    <t>as % PBT</t>
  </si>
  <si>
    <t>Gross take-rate</t>
  </si>
  <si>
    <t>Growth by cohort</t>
  </si>
  <si>
    <t>Implied revenue from new clients</t>
  </si>
  <si>
    <t>Assumed share of merchant EM spend</t>
  </si>
  <si>
    <t>dLocal share of merchant revenue</t>
  </si>
  <si>
    <t>Implied Merchant EM spend, USD billion</t>
  </si>
  <si>
    <t>new merchant growth</t>
  </si>
  <si>
    <t>Merchant growth</t>
  </si>
  <si>
    <t>Growth drivers</t>
  </si>
  <si>
    <t>E-Commerce</t>
  </si>
  <si>
    <t>As % retail (weighted EM)</t>
  </si>
  <si>
    <t>Cross-border as % Pay-In</t>
  </si>
  <si>
    <t>E-Comm as % Retail</t>
  </si>
  <si>
    <t>As % EM Pay-out TAM (inc freelance)</t>
  </si>
  <si>
    <t>dLocal TPV share of Pay-out (ex freelance/remittances)</t>
  </si>
  <si>
    <t>dLocal TPV share of Pay-out (LHS)</t>
  </si>
  <si>
    <t>Share of Merchants' TPV</t>
  </si>
  <si>
    <t>Pay-In</t>
  </si>
  <si>
    <t>&gt;2021</t>
  </si>
  <si>
    <t>dLocal</t>
  </si>
  <si>
    <t>PAGS</t>
  </si>
  <si>
    <t>Stone</t>
  </si>
  <si>
    <t>Cielo</t>
  </si>
  <si>
    <t>Take rates</t>
  </si>
  <si>
    <t>Average</t>
  </si>
  <si>
    <t>Pay-in cross border</t>
  </si>
  <si>
    <t>Pay-in local to local</t>
  </si>
  <si>
    <t>Pay-out cross border</t>
  </si>
  <si>
    <t>Pay-out local to local</t>
  </si>
  <si>
    <t>Local to local</t>
  </si>
  <si>
    <t>Weighting</t>
  </si>
  <si>
    <t>Net take-rate</t>
  </si>
  <si>
    <t>Take-rates (on transaction)</t>
  </si>
  <si>
    <t>Implied take-rates (on total)</t>
  </si>
  <si>
    <t>Assumed % in instalments</t>
  </si>
  <si>
    <t>Instalment TPV</t>
  </si>
  <si>
    <t>Assumed monthly %</t>
  </si>
  <si>
    <t>Av months</t>
  </si>
  <si>
    <t>Fin income</t>
  </si>
  <si>
    <t>as % group revenue</t>
  </si>
  <si>
    <t xml:space="preserve"> - of which Pay-in</t>
  </si>
  <si>
    <t>% margin (on gross)</t>
  </si>
  <si>
    <t>% margin (on net)</t>
  </si>
  <si>
    <t>STNE</t>
  </si>
  <si>
    <t>Non COGS Opex</t>
  </si>
  <si>
    <t xml:space="preserve">as % </t>
  </si>
  <si>
    <t>Fin charges</t>
  </si>
  <si>
    <t>Clean net income</t>
  </si>
  <si>
    <t>% margin (net)</t>
  </si>
  <si>
    <t>USD</t>
  </si>
  <si>
    <t>BRL</t>
  </si>
  <si>
    <t>Plus associates</t>
  </si>
  <si>
    <t>Price, USD</t>
  </si>
  <si>
    <t>Market Cap, BRL</t>
  </si>
  <si>
    <t>EFCF yield</t>
  </si>
  <si>
    <t>Net cash</t>
  </si>
  <si>
    <t>PE</t>
  </si>
  <si>
    <t>Associates</t>
  </si>
  <si>
    <t>Dividend yield</t>
  </si>
  <si>
    <t>Returns</t>
  </si>
  <si>
    <t>EFCF</t>
  </si>
  <si>
    <t>less capex</t>
  </si>
  <si>
    <t>plus fin income/exp</t>
  </si>
  <si>
    <t>less tax</t>
  </si>
  <si>
    <t>Operational</t>
  </si>
  <si>
    <t>Financial metrics, BRL m</t>
  </si>
  <si>
    <t xml:space="preserve">EBITDA </t>
  </si>
  <si>
    <t>Operating income</t>
  </si>
  <si>
    <t>Net debt/EBITDA</t>
  </si>
  <si>
    <t>EPS, USD</t>
  </si>
  <si>
    <t>DPS, USD</t>
  </si>
  <si>
    <t>USD m</t>
  </si>
  <si>
    <t xml:space="preserve"> of which Pay-in</t>
  </si>
  <si>
    <t xml:space="preserve"> of which Pay-out</t>
  </si>
  <si>
    <t>EUR</t>
  </si>
  <si>
    <t>dLocal 2024</t>
  </si>
  <si>
    <t>% margin (gross)</t>
  </si>
  <si>
    <t>GBP</t>
  </si>
  <si>
    <t>Wise</t>
  </si>
  <si>
    <t>Employees</t>
  </si>
  <si>
    <t>Clean EBIT</t>
  </si>
  <si>
    <t>Nuvei</t>
  </si>
  <si>
    <t>CAD</t>
  </si>
  <si>
    <t>Revs/employee</t>
  </si>
  <si>
    <t>Payment split type</t>
  </si>
  <si>
    <t>Credit/debit cards</t>
  </si>
  <si>
    <t>Cash/APMs (Boletos etc)</t>
  </si>
  <si>
    <t>Wallets</t>
  </si>
  <si>
    <t>Bank transfers</t>
  </si>
  <si>
    <t>Difference</t>
  </si>
  <si>
    <t>Revenue (gross)</t>
  </si>
  <si>
    <t>Merchant split</t>
  </si>
  <si>
    <t>Revenue split</t>
  </si>
  <si>
    <t>Revenue/merchant</t>
  </si>
  <si>
    <t>Top 2 accounts</t>
  </si>
  <si>
    <t>Nos 3-10</t>
  </si>
  <si>
    <t>Balance of ~340 account</t>
  </si>
  <si>
    <t>Card usage Brazil</t>
  </si>
  <si>
    <t>Q1 21 annualised</t>
  </si>
  <si>
    <t>Credit cards</t>
  </si>
  <si>
    <t>Debit cards</t>
  </si>
  <si>
    <t>Pre-paid cards</t>
  </si>
  <si>
    <t>TPV, BRL billion</t>
  </si>
  <si>
    <t>DCF</t>
  </si>
  <si>
    <t>WACC</t>
  </si>
  <si>
    <t>g</t>
  </si>
  <si>
    <t>Terminal growth</t>
  </si>
  <si>
    <t>NPV CFs</t>
  </si>
  <si>
    <t>FCF</t>
  </si>
  <si>
    <t>OpFCF</t>
  </si>
  <si>
    <t>Effective tax rate</t>
  </si>
  <si>
    <t>TV</t>
  </si>
  <si>
    <t>PV of terminal value</t>
  </si>
  <si>
    <t>Value per share</t>
  </si>
  <si>
    <t>EV/TPV</t>
  </si>
  <si>
    <t>Class A</t>
  </si>
  <si>
    <t>Class A shares issued</t>
  </si>
  <si>
    <t>Class B Common share</t>
  </si>
  <si>
    <t>Total Class A</t>
  </si>
  <si>
    <t>Class B</t>
  </si>
  <si>
    <t>Andres Bzurovski Bay</t>
  </si>
  <si>
    <t>Aqua Crystal Investments</t>
  </si>
  <si>
    <t>Jacobo Singer</t>
  </si>
  <si>
    <t>General Atlantic</t>
  </si>
  <si>
    <t>Unsal Holdings</t>
  </si>
  <si>
    <t>Free float</t>
  </si>
  <si>
    <t>Others</t>
  </si>
  <si>
    <t>Total voting</t>
  </si>
  <si>
    <t>Sebastián Kanovich CEO</t>
  </si>
  <si>
    <t>000s</t>
  </si>
  <si>
    <t>IZBA SA (Sergio Fogel)</t>
  </si>
  <si>
    <t>Who are they?</t>
  </si>
  <si>
    <t>Angel investor, co-founded Astro Pay</t>
  </si>
  <si>
    <t>Angel investor: Agora.com (B2B marketplace), Uniotel (VoIP), and Astropay (payments processor); born Uruguay (worked at IBM), INSEAD for MBA</t>
  </si>
  <si>
    <t>% Econ</t>
  </si>
  <si>
    <t>% Voting</t>
  </si>
  <si>
    <t>Adyen</t>
  </si>
  <si>
    <t>Target sensitivity</t>
  </si>
  <si>
    <t>EV/Sales</t>
  </si>
  <si>
    <t>PagSeguro</t>
  </si>
  <si>
    <t>PayPal</t>
  </si>
  <si>
    <t>Scaled for EM (Brazil TPV split)</t>
  </si>
  <si>
    <t>Assumed interchange, bps</t>
  </si>
  <si>
    <t>Revenue TAM</t>
  </si>
  <si>
    <t>Market share</t>
  </si>
  <si>
    <t>dLocal revenue opportunity</t>
  </si>
  <si>
    <t>as % group</t>
  </si>
  <si>
    <t>Brazil pre-paid card TPV 2021e</t>
  </si>
  <si>
    <t>Upside</t>
  </si>
  <si>
    <t>underlying growth (inc new geos, products)</t>
  </si>
  <si>
    <t>Gross revenue growth</t>
  </si>
  <si>
    <t>Net revenue growth</t>
  </si>
  <si>
    <t>Q2 21</t>
  </si>
  <si>
    <t>Competiton</t>
  </si>
  <si>
    <t>Pay in vs Pay out trends</t>
  </si>
  <si>
    <t>Direct issuance?</t>
  </si>
  <si>
    <t>Slight step down on Q1, 4.1pp - where is this going?</t>
  </si>
  <si>
    <t>Some colour as to what to expect here?</t>
  </si>
  <si>
    <t>How to think about the addressable market here?</t>
  </si>
  <si>
    <t>How many individuals receive some sort of Pay-out</t>
  </si>
  <si>
    <t>Incumbents responding at all?</t>
  </si>
  <si>
    <t>Back to 60/40 Pay out vs in?</t>
  </si>
  <si>
    <t>10+ new merchants in Q2?</t>
  </si>
  <si>
    <t>New merchants revenue strong</t>
  </si>
  <si>
    <t>Talk about TPV of new merchants vs existing</t>
  </si>
  <si>
    <t>Headcount up 100% y/y</t>
  </si>
  <si>
    <t>Margins may decrease in the coming quarters</t>
  </si>
  <si>
    <t>Margins</t>
  </si>
  <si>
    <t>Countries</t>
  </si>
  <si>
    <t>Call</t>
  </si>
  <si>
    <t>Prepayment income</t>
  </si>
  <si>
    <t>Opportunity here?</t>
  </si>
  <si>
    <t>Chinese merchants in focus</t>
  </si>
  <si>
    <t>Which country underweight in - India perhaps</t>
  </si>
  <si>
    <t>Inc US content provider launched in 13 countries</t>
  </si>
  <si>
    <t>Social network platform lip syncing in 4 countries</t>
  </si>
  <si>
    <t>7 countries/merchant</t>
  </si>
  <si>
    <t>Thoughts on moving into any developed markets?</t>
  </si>
  <si>
    <t>Where going to?</t>
  </si>
  <si>
    <t>Q&amp;A</t>
  </si>
  <si>
    <t>New merchant growth was very strong</t>
  </si>
  <si>
    <t>More colour here…? What is the investment needed here?</t>
  </si>
  <si>
    <t>NRR of 196%</t>
  </si>
  <si>
    <t>Soft guide of 150-160% going forward</t>
  </si>
  <si>
    <t>Trailing metric</t>
  </si>
  <si>
    <t>Social network, US content provider, video sharing</t>
  </si>
  <si>
    <t>Back to historic levels</t>
  </si>
  <si>
    <t>V big due to methodology</t>
  </si>
  <si>
    <t>Great quarter</t>
  </si>
  <si>
    <t>% are v high as Q2 2020 so easier comp</t>
  </si>
  <si>
    <t>*</t>
  </si>
  <si>
    <t>And so is the lower take-rate of 4.1pp likely to be stable going forward</t>
  </si>
  <si>
    <t>Can't give new numbers</t>
  </si>
  <si>
    <t>Well above, where's it going?</t>
  </si>
  <si>
    <t>Was FY 2020 rate</t>
  </si>
  <si>
    <t>160% is the right sort of level generally</t>
  </si>
  <si>
    <t>Yes, right mid-term rate</t>
  </si>
  <si>
    <t>Added some v large merchants through the last 12 months</t>
  </si>
  <si>
    <t>added some which are very large</t>
  </si>
  <si>
    <t>the number will come down in next 2 quarters</t>
  </si>
  <si>
    <t>2 year cohorts</t>
  </si>
  <si>
    <t>Start to stabilise in the over 24 months</t>
  </si>
  <si>
    <t>Revenue and TPV - include acquisition?</t>
  </si>
  <si>
    <t>Yes, it includes the deal</t>
  </si>
  <si>
    <t>Ex-this?</t>
  </si>
  <si>
    <t>Not significant number, not disclosing</t>
  </si>
  <si>
    <t>Pressure on margins?</t>
  </si>
  <si>
    <t>Issuance</t>
  </si>
  <si>
    <t>Pilot project, enterprise merchants</t>
  </si>
  <si>
    <t>Ramp up will take time</t>
  </si>
  <si>
    <t>Separately monetise?</t>
  </si>
  <si>
    <t>Ride-hailing / travel</t>
  </si>
  <si>
    <t>How much more benefit from this?</t>
  </si>
  <si>
    <t>Will look to invest over the coming quarters</t>
  </si>
  <si>
    <t>GMV</t>
  </si>
  <si>
    <t>Volume growth…prices come down as volumes go up</t>
  </si>
  <si>
    <t>Low 40%s sort of level</t>
  </si>
  <si>
    <t>Competition</t>
  </si>
  <si>
    <t>Huge oppo</t>
  </si>
  <si>
    <t>Competition to be aggressive…</t>
  </si>
  <si>
    <t>No revenue from prepayment</t>
  </si>
  <si>
    <t>probably yes at some point</t>
  </si>
  <si>
    <t>geography and product at some point</t>
  </si>
  <si>
    <t>Merchants who want to grow outside their own countries</t>
  </si>
  <si>
    <t>Chinese merchants outside of China</t>
  </si>
  <si>
    <t>FY 20</t>
  </si>
  <si>
    <t xml:space="preserve">IPO </t>
  </si>
  <si>
    <t>M&amp;A costs</t>
  </si>
  <si>
    <t>Changes to estimates (Q2 21)</t>
  </si>
  <si>
    <t>OLD - BRL million</t>
  </si>
  <si>
    <t>NEW - BRL million</t>
  </si>
  <si>
    <t>Q1 22e</t>
  </si>
  <si>
    <t>New Street Research</t>
  </si>
  <si>
    <t xml:space="preserve">+44 20 7375 9128 </t>
  </si>
  <si>
    <t>soomit@newstreetresearch.com</t>
  </si>
  <si>
    <t>Ticker</t>
  </si>
  <si>
    <t>Rating</t>
  </si>
  <si>
    <t>Target Price</t>
  </si>
  <si>
    <t>dLocal (DLO US)</t>
  </si>
  <si>
    <t>Soomit Datta</t>
  </si>
  <si>
    <t>DLO</t>
  </si>
  <si>
    <t>Q3 21</t>
  </si>
  <si>
    <t>Meetings in Nov, December - commercial stuff</t>
  </si>
  <si>
    <t>All secondary, up to 30%</t>
  </si>
  <si>
    <t>Could have sold into the market</t>
  </si>
  <si>
    <t xml:space="preserve">Chose to do in an organised way…6-7 </t>
  </si>
  <si>
    <t>Founding shares selling</t>
  </si>
  <si>
    <t>GA shareholder in Adyen…when did GA sell in Adyen</t>
  </si>
  <si>
    <t>will continue to sell</t>
  </si>
  <si>
    <t>sld at 400, 600, 850</t>
  </si>
  <si>
    <t>come down 0.3% (Seba), Hako (0.2%)</t>
  </si>
  <si>
    <t>Multiple high..??</t>
  </si>
  <si>
    <t>Will sell down over next 2 years</t>
  </si>
  <si>
    <t>XP also (GA)</t>
  </si>
  <si>
    <t>Reenters lock up</t>
  </si>
  <si>
    <t>30% locked up again for another 90 days</t>
  </si>
  <si>
    <t>all selling shareholders who sold</t>
  </si>
  <si>
    <t>All Class B sold</t>
  </si>
  <si>
    <t>30x oversubscribed in secondary</t>
  </si>
  <si>
    <t>Stone unfortunate</t>
  </si>
  <si>
    <t>All payment stocks down</t>
  </si>
  <si>
    <t>Large long only's…came in, some original IPO holders</t>
  </si>
  <si>
    <t>No anchor in a follow-on</t>
  </si>
  <si>
    <t>High proportion of long-onlys</t>
  </si>
  <si>
    <t>Most follow on 40% long only…close to 100% for DLO</t>
  </si>
  <si>
    <t>Follow on</t>
  </si>
  <si>
    <t>Large investors called, moves too quickly</t>
  </si>
  <si>
    <t>Original IP was pretty small</t>
  </si>
  <si>
    <t>Adyen, Transfer wise float larger</t>
  </si>
  <si>
    <t>A lot allocated to LT, not looking to trade</t>
  </si>
  <si>
    <t>High 30%'s… some expenses coming</t>
  </si>
  <si>
    <t>A lot came through</t>
  </si>
  <si>
    <t>FY will be similar to 2020…40% for 2020, will be around this for 2021. Margin deterioration through H2</t>
  </si>
  <si>
    <t>Biggest oppo in Asia and Africa</t>
  </si>
  <si>
    <t>Gross margins broadly similar</t>
  </si>
  <si>
    <t>Hiring given DLO more visibility</t>
  </si>
  <si>
    <t>Merchants approaching DLO…situation will go on</t>
  </si>
  <si>
    <t>Good problem to have</t>
  </si>
  <si>
    <t>Time zones are a real challenge</t>
  </si>
  <si>
    <t>Need to have more people on the ground</t>
  </si>
  <si>
    <t>Revenue upside comes with a lag</t>
  </si>
  <si>
    <t>Offering, 8/11</t>
  </si>
  <si>
    <t>NRR continues to be high</t>
  </si>
  <si>
    <t>Commercial momentum</t>
  </si>
  <si>
    <t>Asian momentum, Chinese merchants looking to build business outside of China</t>
  </si>
  <si>
    <t>Ride sharing coming back in Q1, Q2 - continued strength</t>
  </si>
  <si>
    <t>Investing in EM</t>
  </si>
  <si>
    <t>Issues</t>
  </si>
  <si>
    <t>Consumption patterns</t>
  </si>
  <si>
    <t>less on gaming…?</t>
  </si>
  <si>
    <t>reallocations hard to call</t>
  </si>
  <si>
    <t>Chinese merchant driven</t>
  </si>
  <si>
    <t>Chinese TPV growing…where existing relationships</t>
  </si>
  <si>
    <t>Some new merchants, onboard recently</t>
  </si>
  <si>
    <t xml:space="preserve"> </t>
  </si>
  <si>
    <t>Chinese payment processor not competing</t>
  </si>
  <si>
    <t>Nothing specific, wider sets of use cases</t>
  </si>
  <si>
    <t>Payouts took 3 years to ramp up</t>
  </si>
  <si>
    <t>Multiple use cases</t>
  </si>
  <si>
    <t>Most basic was</t>
  </si>
  <si>
    <t>Loyalty, reward programs, running these programs</t>
  </si>
  <si>
    <t>Q3 21 call</t>
  </si>
  <si>
    <t>120-130% LT….is that new guidance?</t>
  </si>
  <si>
    <t xml:space="preserve">One third of payments in credit…share in stalments </t>
  </si>
  <si>
    <t>2nd offering</t>
  </si>
  <si>
    <t>Gr margin mix</t>
  </si>
  <si>
    <t>check payments</t>
  </si>
  <si>
    <t>business mix</t>
  </si>
  <si>
    <t>cogs, opex</t>
  </si>
  <si>
    <t>Margin</t>
  </si>
  <si>
    <t>Adding larger clients</t>
  </si>
  <si>
    <t>Cost + pricing..</t>
  </si>
  <si>
    <t>Interest rate risk..</t>
  </si>
  <si>
    <t>12-18 months - 150-160 bps</t>
  </si>
  <si>
    <t>large mature mercants 20-30%</t>
  </si>
  <si>
    <t>prepayment</t>
  </si>
  <si>
    <t>do not provide shares, 30% volumes</t>
  </si>
  <si>
    <t>pay ins, two thirds</t>
  </si>
  <si>
    <t>cc are 30%</t>
  </si>
  <si>
    <t>instalments are small</t>
  </si>
  <si>
    <t>streamin, ride hailing</t>
  </si>
  <si>
    <t>low single digit</t>
  </si>
  <si>
    <t>no prepayment</t>
  </si>
  <si>
    <t xml:space="preserve">2-3% </t>
  </si>
  <si>
    <t>long only looking to come in</t>
  </si>
  <si>
    <t>1/</t>
  </si>
  <si>
    <t>2/</t>
  </si>
  <si>
    <t>shares unlocked</t>
  </si>
  <si>
    <t>top 10</t>
  </si>
  <si>
    <t>africa</t>
  </si>
  <si>
    <t>asia</t>
  </si>
  <si>
    <t>Asia focus</t>
  </si>
  <si>
    <t>EV/Gross profit</t>
  </si>
  <si>
    <t>Dec 22nd 2021 - call</t>
  </si>
  <si>
    <t>Macro factors, Brazil in particular</t>
  </si>
  <si>
    <t>Gross margins down so much in Q3?</t>
  </si>
  <si>
    <t>At initiation</t>
  </si>
  <si>
    <t>Net-take rate</t>
  </si>
  <si>
    <t>Pay out lower than Pay in</t>
  </si>
  <si>
    <t>Pay out higher during Pandemic…where are we today…50/50?</t>
  </si>
  <si>
    <t>Soledad Nager</t>
  </si>
  <si>
    <t>no macro issues</t>
  </si>
  <si>
    <t>Diversified, not just Brazil issues</t>
  </si>
  <si>
    <t>Margin changes</t>
  </si>
  <si>
    <t>Q3</t>
  </si>
  <si>
    <t>onboarded merchants at lower take rates</t>
  </si>
  <si>
    <t>Q3 and Q4 adds ramped up, social media</t>
  </si>
  <si>
    <t>seasonality - social media higher margin</t>
  </si>
  <si>
    <t>payment methods also</t>
  </si>
  <si>
    <t>credit cards not so profitable, need to have</t>
  </si>
  <si>
    <t>all merchants are profitable</t>
  </si>
  <si>
    <t>Amazon , Google smaller than mid-sized take-rates</t>
  </si>
  <si>
    <t>Guidance</t>
  </si>
  <si>
    <t>NRR at 150-160 for mid-term</t>
  </si>
  <si>
    <t>No guidance on take-rate</t>
  </si>
  <si>
    <t>EBITDA margin close to 40%</t>
  </si>
  <si>
    <t>Gross margin</t>
  </si>
  <si>
    <t>Dlocal - USD</t>
  </si>
  <si>
    <t xml:space="preserve">Net revenue </t>
  </si>
  <si>
    <t>Subscribers (registered)</t>
  </si>
  <si>
    <t>Subscribers (active)</t>
  </si>
  <si>
    <t>ARPU (active)</t>
  </si>
  <si>
    <t>Acquiring TPV (for Payment cos)</t>
  </si>
  <si>
    <t>Shareholders equity</t>
  </si>
  <si>
    <t>Total assets (average)</t>
  </si>
  <si>
    <t>Share count (SHOUT)</t>
  </si>
  <si>
    <t>Net debt (relevant for Payment companies)</t>
  </si>
  <si>
    <t>+ Other EV adjustments, if relevant</t>
  </si>
  <si>
    <t>Q4 21</t>
  </si>
  <si>
    <t>Visible Alpha (Mar 14th)</t>
  </si>
  <si>
    <t>Summary</t>
  </si>
  <si>
    <t>EV / Gross Profit</t>
  </si>
  <si>
    <t>NU</t>
  </si>
  <si>
    <t>Inter</t>
  </si>
  <si>
    <t>Current</t>
  </si>
  <si>
    <t>TPV, USD millions</t>
  </si>
  <si>
    <t>TPV, y/y growth</t>
  </si>
  <si>
    <t>Take-rate (gross)</t>
  </si>
  <si>
    <t>Net profit margin</t>
  </si>
  <si>
    <t>Q4 21 call</t>
  </si>
  <si>
    <t>Tanzania, Pakistan, Uganda</t>
  </si>
  <si>
    <t>Merchant in waiting when expand….leads to good ROI</t>
  </si>
  <si>
    <t>Core LatAm share to fall as Asia/Africa increases</t>
  </si>
  <si>
    <t>Initiation through Asia/Africa, then moving to LatAm</t>
  </si>
  <si>
    <t>Core merchants</t>
  </si>
  <si>
    <t>&gt;$100,000 annually</t>
  </si>
  <si>
    <t>Share from Top 10 down</t>
  </si>
  <si>
    <t>Slide 9 - cohorts</t>
  </si>
  <si>
    <t>Take rate</t>
  </si>
  <si>
    <t>Geo</t>
  </si>
  <si>
    <t>Product</t>
  </si>
  <si>
    <t>Segment</t>
  </si>
  <si>
    <t>Each cohort similar from 2020</t>
  </si>
  <si>
    <t>So business mix bring down take rate</t>
  </si>
  <si>
    <t>5.0% to 4.0% in 2021</t>
  </si>
  <si>
    <t>2018 and 2020 cohorts, higher pay outs and local to local</t>
  </si>
  <si>
    <t>2021 cohorts coming on at higher take rate</t>
  </si>
  <si>
    <t>150% + in next 12 months</t>
  </si>
  <si>
    <t>Management to Sing and South Africa</t>
  </si>
  <si>
    <t>Lower valuations, point to fintech oppos</t>
  </si>
  <si>
    <t>Average merchant now in 7 countries</t>
  </si>
  <si>
    <t>cc</t>
  </si>
  <si>
    <t>35% of business</t>
  </si>
  <si>
    <t>Average merchant 67 paymen methods</t>
  </si>
  <si>
    <t>190 open opportunties to expand, at different stages, 50 pricing proposals, 40 waiting to go live</t>
  </si>
  <si>
    <t>60 in Mar-21</t>
  </si>
  <si>
    <t>New clients</t>
  </si>
  <si>
    <t>Existing</t>
  </si>
  <si>
    <t>350 to 640</t>
  </si>
  <si>
    <t>Not SMBs, mainly regional players wanting to expand outside home markets</t>
  </si>
  <si>
    <t>250 pricing proposals extended</t>
  </si>
  <si>
    <t>3-6 quarters to ramp up opportunities</t>
  </si>
  <si>
    <t>2022 clients</t>
  </si>
  <si>
    <t>gaming, crypto, messaging</t>
  </si>
  <si>
    <t>Pay in</t>
  </si>
  <si>
    <t>slide 13</t>
  </si>
  <si>
    <t>Issuing as a service</t>
  </si>
  <si>
    <t>issue prepaid cards</t>
  </si>
  <si>
    <t>4 markets</t>
  </si>
  <si>
    <t>local banks as issuers</t>
  </si>
  <si>
    <t>535 employees, + 73% y/y</t>
  </si>
  <si>
    <t>continue hiring through 2022</t>
  </si>
  <si>
    <t>CFO</t>
  </si>
  <si>
    <t>Pay outs fluctuations, down in Q4, running big campaigns in Q2 and Q3</t>
  </si>
  <si>
    <t>Pay ins .. Up a lot, especially Q4, steady growth</t>
  </si>
  <si>
    <t>North of 35% EBITDA margin..</t>
  </si>
  <si>
    <t>Geopolitics</t>
  </si>
  <si>
    <t>zero exposure to Russia and Ukraine, don’t process in either , no merchant base in Russia</t>
  </si>
  <si>
    <t>9 new countries in 2021, new pipeline</t>
  </si>
  <si>
    <t>geography not the same as "new revenue"</t>
  </si>
  <si>
    <t>Revenue outlook</t>
  </si>
  <si>
    <t>150% on NRR</t>
  </si>
  <si>
    <t>No guide on new client revenue</t>
  </si>
  <si>
    <t>expect to be strong</t>
  </si>
  <si>
    <t>Medium-term forecasts</t>
  </si>
  <si>
    <t>At analyst day?</t>
  </si>
  <si>
    <t>No exact date yet, next few weeks. Delayed due to geo politics</t>
  </si>
  <si>
    <t>EBITDA margin &gt;35%</t>
  </si>
  <si>
    <t>What investments…&gt;40% in 2021</t>
  </si>
  <si>
    <t>Tech and aggressive infra investment plan</t>
  </si>
  <si>
    <t>Small organisation today… like it, but need to expand</t>
  </si>
  <si>
    <t>Mix effects on volume / take in near-term</t>
  </si>
  <si>
    <t>fluctuate in the future, subject to business mix</t>
  </si>
  <si>
    <t>NRR of 150%</t>
  </si>
  <si>
    <t>2022 - full year number, exit rate in Q4 or full year, cadence through 2022</t>
  </si>
  <si>
    <t>150% + guide is for FY NRR</t>
  </si>
  <si>
    <t>Some linear decrease</t>
  </si>
  <si>
    <t>Q2 and Q3 were extremely strong in 2021</t>
  </si>
  <si>
    <t>Pay outs up in Q2 and Q3 from marketing campaigns</t>
  </si>
  <si>
    <t>Good visibility on pay outs…extremely bullish on pipeline</t>
  </si>
  <si>
    <t>more volatility….zero churn in this space</t>
  </si>
  <si>
    <t>recover and continue to grow</t>
  </si>
  <si>
    <t>some volumes might be moving from pay out to pay in</t>
  </si>
  <si>
    <t>FX moves impact</t>
  </si>
  <si>
    <t>x border to merchants, manage fx as a cost. 2021….fx variations/broker cost, 3% of revs in 2021</t>
  </si>
  <si>
    <t>half is broker cost</t>
  </si>
  <si>
    <t>think of TPV in US$ terms, would be a little higher in local</t>
  </si>
  <si>
    <t>2.5% increase, seasonal campaigns, from social media companies</t>
  </si>
  <si>
    <t>Both to grow through 2022</t>
  </si>
  <si>
    <t>Take rate down in 2021</t>
  </si>
  <si>
    <t>Large global merchants</t>
  </si>
  <si>
    <t>Higher share of local to local</t>
  </si>
  <si>
    <t>Higher share of Pay-ins</t>
  </si>
  <si>
    <t>Local to local pay ins higher with lower cost</t>
  </si>
  <si>
    <t>Higher take-rate in Q4</t>
  </si>
  <si>
    <t>New merchants take time (3-6 months to ramp up)</t>
  </si>
  <si>
    <t>Tougher NRR from Q2, &gt;150% going forward</t>
  </si>
  <si>
    <t>higher in 2021 , scaling each Q</t>
  </si>
  <si>
    <t>cost of service 1.9% of TPV</t>
  </si>
  <si>
    <t>2.1% in 2020</t>
  </si>
  <si>
    <t>decrease in share of local to local pay ins with cost below average</t>
  </si>
  <si>
    <t>2.0% cost in Q, up from 1.9% in Q3 21 and 1.8% in Q4 20</t>
  </si>
  <si>
    <t>higher share of pay in, both local to local and x-border, with higher average costs than pay outs</t>
  </si>
  <si>
    <t>Follow-up</t>
  </si>
  <si>
    <t>Pay out vs Pay in ratio</t>
  </si>
  <si>
    <t>Spend at the margin level</t>
  </si>
  <si>
    <t>Pay-out is lower margin revenue. Book costs and expenses</t>
  </si>
  <si>
    <t>Shouldn't this support margins?</t>
  </si>
  <si>
    <t xml:space="preserve">Why has 2021 NRR been so strong…? </t>
  </si>
  <si>
    <t>Structural, higher Pay-in</t>
  </si>
  <si>
    <t>Talk through promotions…how work in practice to drive up TPV?</t>
  </si>
  <si>
    <t>Scale of gross take rate difference</t>
  </si>
  <si>
    <t>M&amp;A</t>
  </si>
  <si>
    <t>Not sure if 50-50 any time soon</t>
  </si>
  <si>
    <t>Pay in higher take rate</t>
  </si>
  <si>
    <t>EBITDA not such an issue</t>
  </si>
  <si>
    <t>Selling gross profit</t>
  </si>
  <si>
    <t>Pay out</t>
  </si>
  <si>
    <t>Added new products, issuing / fraud</t>
  </si>
  <si>
    <t>Pay out coming back</t>
  </si>
  <si>
    <t>absolute</t>
  </si>
  <si>
    <t>Higher TAM</t>
  </si>
  <si>
    <t>Pay out promotions</t>
  </si>
  <si>
    <t>video streaming, pay creators</t>
  </si>
  <si>
    <t>copied each other</t>
  </si>
  <si>
    <t>not active active promotions, but happy to showcase what they can do</t>
  </si>
  <si>
    <t>x-border</t>
  </si>
  <si>
    <t>local to local</t>
  </si>
  <si>
    <t>take</t>
  </si>
  <si>
    <t>Sell gross profit</t>
  </si>
  <si>
    <t>country by country, payment method</t>
  </si>
  <si>
    <t>give a volume estimate</t>
  </si>
  <si>
    <t>60% pay in</t>
  </si>
  <si>
    <t>40% out</t>
  </si>
  <si>
    <t>35% cc</t>
  </si>
  <si>
    <t>65% alt</t>
  </si>
  <si>
    <t>to bank a/c</t>
  </si>
  <si>
    <t>some to wallet</t>
  </si>
  <si>
    <t>EBITDA guide for 2021 was ~40%, in and around 2020</t>
  </si>
  <si>
    <t>35% is a floor</t>
  </si>
  <si>
    <t>Could invest down to 40%</t>
  </si>
  <si>
    <t>Africa, Asia</t>
  </si>
  <si>
    <t>chase it in a big way</t>
  </si>
  <si>
    <t>Yes agree on margins, revenue is coming in ahead</t>
  </si>
  <si>
    <t xml:space="preserve">Non LatAm </t>
  </si>
  <si>
    <t>86% growth</t>
  </si>
  <si>
    <t>$21m of revenue</t>
  </si>
  <si>
    <t>most are not growing at this revenue</t>
  </si>
  <si>
    <t>Asia</t>
  </si>
  <si>
    <t>Nigeria, India, Singapore, Vietnam, SA</t>
  </si>
  <si>
    <t>Current dislocation</t>
  </si>
  <si>
    <t>Relative basis</t>
  </si>
  <si>
    <t>Plarform in Asia / Africa</t>
  </si>
  <si>
    <t>By country, by payment method</t>
  </si>
  <si>
    <t>Bitcoin in Miami</t>
  </si>
  <si>
    <t>New estimates</t>
  </si>
  <si>
    <t>Previous estimates</t>
  </si>
  <si>
    <t>Diff</t>
  </si>
  <si>
    <t>TP</t>
  </si>
  <si>
    <t>Cons</t>
  </si>
  <si>
    <t>NSR, USD million</t>
  </si>
  <si>
    <t>Q1 22</t>
  </si>
  <si>
    <t>diff</t>
  </si>
  <si>
    <t>2Q 22E</t>
  </si>
  <si>
    <t>3Q 22E</t>
  </si>
  <si>
    <t>4Q 22E</t>
  </si>
  <si>
    <t>2022E</t>
  </si>
  <si>
    <t>2023E</t>
  </si>
  <si>
    <t>2024E</t>
  </si>
  <si>
    <t>Adj EBITDA</t>
  </si>
  <si>
    <t>OPEX</t>
  </si>
  <si>
    <t>$ m</t>
  </si>
  <si>
    <t>Global macro, new client delays?</t>
  </si>
  <si>
    <t>Well diversified on verticals, countries, geographies</t>
  </si>
  <si>
    <t>EM growth still being pursued</t>
  </si>
  <si>
    <t>Questions</t>
  </si>
  <si>
    <t>Capitalise some R&amp;D</t>
  </si>
  <si>
    <t>salaries of dev engineers</t>
  </si>
  <si>
    <t>5% of total revenue, including capitalise</t>
  </si>
  <si>
    <t>as all development</t>
  </si>
  <si>
    <t>Engineer</t>
  </si>
  <si>
    <t>&lt;50% of US rates</t>
  </si>
  <si>
    <t>Trouble finding talent?</t>
  </si>
  <si>
    <t>No, other companies laying off employees</t>
  </si>
  <si>
    <t>Profitability valued highly</t>
  </si>
  <si>
    <t>one third</t>
  </si>
  <si>
    <t>two third</t>
  </si>
  <si>
    <t>Split</t>
  </si>
  <si>
    <t>Today</t>
  </si>
  <si>
    <t>Before</t>
  </si>
  <si>
    <t>Future</t>
  </si>
  <si>
    <t>stay the same</t>
  </si>
  <si>
    <t>Looking for good M&amp;A target</t>
  </si>
  <si>
    <t>Africa or Asia, can't find anything</t>
  </si>
  <si>
    <t>Commercial side - Primero Pay, process payments</t>
  </si>
  <si>
    <t>Local players in one or 2 countries</t>
  </si>
  <si>
    <t>Acquirer</t>
  </si>
  <si>
    <t>Tech</t>
  </si>
  <si>
    <t>One integration, one API</t>
  </si>
  <si>
    <t>NRR step down</t>
  </si>
  <si>
    <t>Floor given, 35%+</t>
  </si>
  <si>
    <t>35-37% perhaps</t>
  </si>
  <si>
    <t>Trying to grow in Asia and Africa</t>
  </si>
  <si>
    <t>Not easy to operate here</t>
  </si>
  <si>
    <t>Like LatAm 10 years ago, countries with a lot of friction. No real winners</t>
  </si>
  <si>
    <t>50% LatAm ultimately</t>
  </si>
  <si>
    <t>$40m of revenue from non-LatAm run rate (annualised)</t>
  </si>
  <si>
    <t>Out of 10+ onboarded, half outside of Latam</t>
  </si>
  <si>
    <t>Lots in Europe, US. Asia/China also. More and more LatAm players, Rapi etc</t>
  </si>
  <si>
    <t>Merchant from anywhere….processing volumes in Africa</t>
  </si>
  <si>
    <t>Lock up</t>
  </si>
  <si>
    <t>Q2 22</t>
  </si>
  <si>
    <t>Revenue Split</t>
  </si>
  <si>
    <t>LATAM</t>
  </si>
  <si>
    <t>EX-LATAM</t>
  </si>
  <si>
    <t>Revenue concentration</t>
  </si>
  <si>
    <t>Top 10 clients</t>
  </si>
  <si>
    <t># of Exployees</t>
  </si>
  <si>
    <t>Geographies</t>
  </si>
  <si>
    <t>Africa &amp; Asia</t>
  </si>
  <si>
    <t>% growth from existing</t>
  </si>
  <si>
    <t>Q3 22</t>
  </si>
  <si>
    <t>Asia/Africa</t>
  </si>
  <si>
    <t>x-sell to merchants who started in LatAm</t>
  </si>
  <si>
    <t>temporary…processing most of the TPV in Q4</t>
  </si>
  <si>
    <t>no country &gt;20% of TPV in Q3</t>
  </si>
  <si>
    <t>New markets</t>
  </si>
  <si>
    <t>39 EM's, Nicaragua and Saudi Arabia</t>
  </si>
  <si>
    <t>1. needs of merchants</t>
  </si>
  <si>
    <t>2. attractive market</t>
  </si>
  <si>
    <t>10 new payment methods outside LatAm</t>
  </si>
  <si>
    <t>Microsoft, Shopify, Spotify, Delivery Hero, Shein, Drop box</t>
  </si>
  <si>
    <t>Corporate Dev/IR</t>
  </si>
  <si>
    <t>Maria Oldham, IR / Corp Development</t>
  </si>
  <si>
    <t>Spending</t>
  </si>
  <si>
    <t>Invest carefully in developing global team</t>
  </si>
  <si>
    <t>712 employees</t>
  </si>
  <si>
    <t>hiring locally</t>
  </si>
  <si>
    <t>Card payments…as % of TPV?</t>
  </si>
  <si>
    <t>Bit more granularity - which countries in Asia/Africa</t>
  </si>
  <si>
    <t>EBITDA margin?</t>
  </si>
  <si>
    <t>Argentina..?</t>
  </si>
  <si>
    <t>How much did you lose in Q3</t>
  </si>
  <si>
    <t>Issuing update</t>
  </si>
  <si>
    <t>Pay ins</t>
  </si>
  <si>
    <t>In-line with guide for FY 35%</t>
  </si>
  <si>
    <t>Any market seeing signs of consumer stress?</t>
  </si>
  <si>
    <t>Financial expenses related to Argentina?</t>
  </si>
  <si>
    <t>As you process more volumes…</t>
  </si>
  <si>
    <t xml:space="preserve">How much are </t>
  </si>
  <si>
    <t>Government running out of FX reserves..</t>
  </si>
  <si>
    <t>Start of Q3…getting more clarity…trending in the right direction</t>
  </si>
  <si>
    <t>Not a large % of group</t>
  </si>
  <si>
    <t>2016 - ups and downs</t>
  </si>
  <si>
    <t>Asia / Africa</t>
  </si>
  <si>
    <t>what happened in Q3 exactly..?</t>
  </si>
  <si>
    <t>Couple of key accounts?</t>
  </si>
  <si>
    <t>"normalised" by end of Q3</t>
  </si>
  <si>
    <t>regulations…were adapted to</t>
  </si>
  <si>
    <t>New regs on FX…."all of this industry restricted". Preserve ability of global companies (merchants) to access USD</t>
  </si>
  <si>
    <t>flex over time from initial tough</t>
  </si>
  <si>
    <t>Last week of Q3 x100 better</t>
  </si>
  <si>
    <t>Take-rates up in Argentina</t>
  </si>
  <si>
    <t>Yes typically charge more here</t>
  </si>
  <si>
    <t>Fin expenses</t>
  </si>
  <si>
    <t>Yes, part of Q3 was due to Argentina. Temporary change</t>
  </si>
  <si>
    <t>Don’t take FX risk</t>
  </si>
  <si>
    <t>&gt;150% +</t>
  </si>
  <si>
    <t>Outlook</t>
  </si>
  <si>
    <t>Clear market leaders….clear moat with biggest merchants relying on them</t>
  </si>
  <si>
    <t xml:space="preserve">Yes, tough times and EM continues to be growth outlook for larger merchants. Can outsource more for </t>
  </si>
  <si>
    <t>Q4 progress</t>
  </si>
  <si>
    <t>No update in guidance</t>
  </si>
  <si>
    <t>Colour, everything trending in right direction</t>
  </si>
  <si>
    <t>Local legal entities</t>
  </si>
  <si>
    <t>Switching x-border to domestic</t>
  </si>
  <si>
    <t>take rate - tend to be more x-border/partnership with DLO</t>
  </si>
  <si>
    <t>Agnostic to method</t>
  </si>
  <si>
    <t>Africa / Asia</t>
  </si>
  <si>
    <t>One API, one contract</t>
  </si>
  <si>
    <t>Plenty of oppos ahead</t>
  </si>
  <si>
    <t>Card payments</t>
  </si>
  <si>
    <t>Some card heavy, others not</t>
  </si>
  <si>
    <t>Agnostic</t>
  </si>
  <si>
    <t>Net take rate reflects processing cost, so shouldn’t make much difference</t>
  </si>
  <si>
    <t>Analogies…reflecting playbook from LatAm</t>
  </si>
  <si>
    <t>Complexities of payment methods</t>
  </si>
  <si>
    <t>Top 10 merchants…new product innovations, new services</t>
  </si>
  <si>
    <t>Product + scale</t>
  </si>
  <si>
    <t>CC acquiring in scale, new wallets in Indo, cash collections in Egypt etc. Small steps</t>
  </si>
  <si>
    <t>differentiate step by step</t>
  </si>
  <si>
    <t>Marketplaces…pay ins/pay outs. Many sellers/buyers at the same time</t>
  </si>
  <si>
    <t>Just in time payouts needs a lot of focus, for example, differentiation</t>
  </si>
  <si>
    <t>Very small team by peer standards</t>
  </si>
  <si>
    <t>Don’t have a hiring target</t>
  </si>
  <si>
    <t>G&amp;A expense</t>
  </si>
  <si>
    <t>Relevant (&gt;25% sequential) increase here</t>
  </si>
  <si>
    <t>Assets</t>
  </si>
  <si>
    <t>Current Assets</t>
  </si>
  <si>
    <t>Cash and cash equivalents</t>
  </si>
  <si>
    <t xml:space="preserve">Financial assets at FV </t>
  </si>
  <si>
    <t>Derivative financial instruments</t>
  </si>
  <si>
    <t>Other assets</t>
  </si>
  <si>
    <t>Total current assets</t>
  </si>
  <si>
    <t>Non-Current Assets</t>
  </si>
  <si>
    <t>Deferred tax assets</t>
  </si>
  <si>
    <t>PPE</t>
  </si>
  <si>
    <t>Right-of-use assets</t>
  </si>
  <si>
    <t>Intangible assets</t>
  </si>
  <si>
    <t>Total non-current assets</t>
  </si>
  <si>
    <t>Total Assets</t>
  </si>
  <si>
    <t>Liabilities</t>
  </si>
  <si>
    <t>Trade and other payables</t>
  </si>
  <si>
    <t>Lease liabilities</t>
  </si>
  <si>
    <t>Tax liabilities</t>
  </si>
  <si>
    <t>Borrowings</t>
  </si>
  <si>
    <t>Provisions</t>
  </si>
  <si>
    <t>Contingent considerations liability</t>
  </si>
  <si>
    <t>Total current liabilities</t>
  </si>
  <si>
    <t>Total Liabilities</t>
  </si>
  <si>
    <t>Share capital</t>
  </si>
  <si>
    <t>Share premium</t>
  </si>
  <si>
    <t>Capital reserve</t>
  </si>
  <si>
    <t>Other reserves</t>
  </si>
  <si>
    <t>Retained earnings</t>
  </si>
  <si>
    <t>Total equity att. To owners of group</t>
  </si>
  <si>
    <t>Non-controlling interest</t>
  </si>
  <si>
    <t>Total equity</t>
  </si>
  <si>
    <t>Check</t>
  </si>
  <si>
    <t>Deferred tax liabilities</t>
  </si>
  <si>
    <t>Trade and other receivables</t>
  </si>
  <si>
    <t>Cash + receivables - payables</t>
  </si>
  <si>
    <t>change</t>
  </si>
  <si>
    <t>Exclusions</t>
  </si>
  <si>
    <t>Change in WC</t>
  </si>
  <si>
    <t>CAPEX</t>
  </si>
  <si>
    <t>Profit before tax</t>
  </si>
  <si>
    <t>CF from operations</t>
  </si>
  <si>
    <t>Share based expense</t>
  </si>
  <si>
    <t>Additing of intangibles</t>
  </si>
  <si>
    <t>Cash and cash equivalents - Client funds</t>
  </si>
  <si>
    <t>Cash and cash equivalents - Own funds</t>
  </si>
  <si>
    <t>Change in client funds</t>
  </si>
  <si>
    <t>Change in own funds</t>
  </si>
  <si>
    <t>Free cash flow exclud WC</t>
  </si>
  <si>
    <t>4Q23E</t>
  </si>
  <si>
    <t>Muddy Waters</t>
  </si>
  <si>
    <t>Investors</t>
  </si>
  <si>
    <t xml:space="preserve">Advised to wait </t>
  </si>
  <si>
    <t>positive feedback</t>
  </si>
  <si>
    <t>no impact so far</t>
  </si>
  <si>
    <t>TPV data</t>
  </si>
  <si>
    <t>changed methodology</t>
  </si>
  <si>
    <t>1. Cohort analysis</t>
  </si>
  <si>
    <t>take from first draft</t>
  </si>
  <si>
    <t>final docs of F1</t>
  </si>
  <si>
    <t>Cohort</t>
  </si>
  <si>
    <t>enterprise merchants…surpass $6m TPV for first time in a year</t>
  </si>
  <si>
    <t>earnings presentation for 2021</t>
  </si>
  <si>
    <t>simpler analysis….no threshold…allocate based on year started transaction</t>
  </si>
  <si>
    <t>in one methodoly</t>
  </si>
  <si>
    <t>getting ramp up merchants</t>
  </si>
  <si>
    <t>allocated</t>
  </si>
  <si>
    <t>higher tpv/merchant</t>
  </si>
  <si>
    <t>Dividend pre IPO</t>
  </si>
  <si>
    <t>analysis - basic mistake</t>
  </si>
  <si>
    <t>2020 CF…but don't account for beginning and end period balance</t>
  </si>
  <si>
    <t>shortfall $4m</t>
  </si>
  <si>
    <t>don't account for $8m starting balance</t>
  </si>
  <si>
    <t>still have surplus</t>
  </si>
  <si>
    <t>accounts are segregated</t>
  </si>
  <si>
    <t>Some profits in merchant funds</t>
  </si>
  <si>
    <t>High take rate…yes charge more</t>
  </si>
  <si>
    <t>merchants understand</t>
  </si>
  <si>
    <t>Ebanx - competitive rates</t>
  </si>
  <si>
    <t>3% to 6.5% paypal/adyen</t>
  </si>
  <si>
    <t>up to 10% for fx conversion</t>
  </si>
  <si>
    <t>gross</t>
  </si>
  <si>
    <t>net</t>
  </si>
  <si>
    <t>yes, FX offered and charged for</t>
  </si>
  <si>
    <t>x-border….higher on a net basis</t>
  </si>
  <si>
    <t>not disclosed</t>
  </si>
  <si>
    <t>intercompany transactions</t>
  </si>
  <si>
    <t>Gross take-rate (rep)</t>
  </si>
  <si>
    <t>Gain in cost of services (above EBITDA)</t>
  </si>
  <si>
    <t>Loss in fin expenses</t>
  </si>
  <si>
    <t>Hedge accounting</t>
  </si>
  <si>
    <t>DLO call Jan 2 2023</t>
  </si>
  <si>
    <t>Other revenue</t>
  </si>
  <si>
    <t>Higher B2B processing services</t>
  </si>
  <si>
    <t>Invoicing…collecting from Advertiser through social media</t>
  </si>
  <si>
    <t>Included starting from Q3 22…</t>
  </si>
  <si>
    <t>Apples to apples, didn't increase too much</t>
  </si>
  <si>
    <t>Meta for example</t>
  </si>
  <si>
    <t>FX hedges</t>
  </si>
  <si>
    <t>IFRS 9 - split the edge…spot and forward</t>
  </si>
  <si>
    <t>gain or loss on hedge</t>
  </si>
  <si>
    <t>actual cost to pay for the hedge also</t>
  </si>
  <si>
    <t>Lag between processing and expatriate</t>
  </si>
  <si>
    <t>spot element in cogs</t>
  </si>
  <si>
    <t>cost in fin expenses</t>
  </si>
  <si>
    <t>net gain</t>
  </si>
  <si>
    <t>spot less actual volatility</t>
  </si>
  <si>
    <t>total result</t>
  </si>
  <si>
    <t>some income gained also</t>
  </si>
  <si>
    <t>spot element</t>
  </si>
  <si>
    <t>volatility</t>
  </si>
  <si>
    <t>Financial services</t>
  </si>
  <si>
    <t>Crypto</t>
  </si>
  <si>
    <t>Q1 last year…exploring as a vertical. Conservative approach, no real reliance</t>
  </si>
  <si>
    <t>&lt;0.3% of TPV</t>
  </si>
  <si>
    <t>Processing FIAT for exchanges</t>
  </si>
  <si>
    <t>PSPs to reach EM</t>
  </si>
  <si>
    <t>Remittance companies</t>
  </si>
  <si>
    <t>WISE, Remitly, Earthport</t>
  </si>
  <si>
    <t>FTX</t>
  </si>
  <si>
    <t>In early Nov used FTX as a counterpart to expatriate in Africa</t>
  </si>
  <si>
    <t>faster and cheaper, first time used them</t>
  </si>
  <si>
    <t>USD5.6m not processed</t>
  </si>
  <si>
    <t>November</t>
  </si>
  <si>
    <t>Post  Q3 22</t>
  </si>
  <si>
    <t>2025E</t>
  </si>
  <si>
    <t>July-23, or when finished</t>
  </si>
  <si>
    <t>Up to $100m</t>
  </si>
  <si>
    <t>Buy back</t>
  </si>
  <si>
    <t>invoice processing services?</t>
  </si>
  <si>
    <t>restated for previous quarters?</t>
  </si>
  <si>
    <t>Numbers</t>
  </si>
  <si>
    <t>Come down across the street, happy where they’re at?</t>
  </si>
  <si>
    <t>Double check</t>
  </si>
  <si>
    <t xml:space="preserve">reviewing </t>
  </si>
  <si>
    <t>was pay ins cross border</t>
  </si>
  <si>
    <t>merchant to collect from small/medium businesses. Paying from argentina</t>
  </si>
  <si>
    <t>Other  might be set up fee/maintenance</t>
  </si>
  <si>
    <t>increased a little in Q3</t>
  </si>
  <si>
    <t>in theory neutral fin expenses</t>
  </si>
  <si>
    <t>same</t>
  </si>
  <si>
    <t>will exclude</t>
  </si>
  <si>
    <t>lower net income… not sure if tax deductible</t>
  </si>
  <si>
    <t>one offs</t>
  </si>
  <si>
    <t>higher legal fees</t>
  </si>
  <si>
    <t>run in the millions</t>
  </si>
  <si>
    <t>bulk has been spent</t>
  </si>
  <si>
    <t>higher control</t>
  </si>
  <si>
    <t>disclosure more comprehensive</t>
  </si>
  <si>
    <t>New disclosure</t>
  </si>
  <si>
    <t>revenue</t>
  </si>
  <si>
    <t>start of July. Government restricting access to official FX for import of goods and services</t>
  </si>
  <si>
    <t>education (tax free) - online courses for example, or buy online</t>
  </si>
  <si>
    <t>needs to be on VAT list of tax free</t>
  </si>
  <si>
    <t>amazon importing from abroad</t>
  </si>
  <si>
    <t>couldn’t send the money abroad</t>
  </si>
  <si>
    <t>not recovering in Q4…situation continues</t>
  </si>
  <si>
    <t>situation hasn't changed</t>
  </si>
  <si>
    <t>Q4 22</t>
  </si>
  <si>
    <t xml:space="preserve"> - Pay-ins</t>
  </si>
  <si>
    <t xml:space="preserve"> - Pay-outs</t>
  </si>
  <si>
    <t>- X-border</t>
  </si>
  <si>
    <t>- local to local</t>
  </si>
  <si>
    <t>Geo split</t>
  </si>
  <si>
    <t>Guide</t>
  </si>
  <si>
    <t>620-640</t>
  </si>
  <si>
    <t>140-150%</t>
  </si>
  <si>
    <t>200-220</t>
  </si>
  <si>
    <t>31-35%</t>
  </si>
  <si>
    <t>3.5-3.6</t>
  </si>
  <si>
    <t>TPV, $ billion</t>
  </si>
  <si>
    <t>Guidance 2023, $m</t>
  </si>
  <si>
    <t>Guidance Q1 23, $m</t>
  </si>
  <si>
    <t>135-138</t>
  </si>
  <si>
    <t>57-59</t>
  </si>
  <si>
    <t>down from &gt;150% previously as mid-term</t>
  </si>
  <si>
    <t>Pay-in / out mix</t>
  </si>
  <si>
    <t>X-border mix</t>
  </si>
  <si>
    <t>as % total revs</t>
  </si>
  <si>
    <t>% of business</t>
  </si>
  <si>
    <t>% of pay in</t>
  </si>
  <si>
    <t>Credit Cards (vs alternative payments)</t>
  </si>
  <si>
    <t>Change in revenue</t>
  </si>
  <si>
    <t>Change in gross profit</t>
  </si>
  <si>
    <t>Incremental margin</t>
  </si>
  <si>
    <t>Gross profit take</t>
  </si>
  <si>
    <t>Gross profit take-rate</t>
  </si>
  <si>
    <t>as % TPV</t>
  </si>
  <si>
    <t>Change in cost of service</t>
  </si>
  <si>
    <t>Gross profit (net) take-rate</t>
  </si>
  <si>
    <t>Pay Ins</t>
  </si>
  <si>
    <t>Pay Outs</t>
  </si>
  <si>
    <t>600+</t>
  </si>
  <si>
    <t>GP</t>
  </si>
  <si>
    <t>Run through the $53m asset on the balance sheet</t>
  </si>
  <si>
    <t>Lower gross margins embedded in FY EBITDA margin outlook</t>
  </si>
  <si>
    <t>If not, is the contribution from Africa/Asia a factor</t>
  </si>
  <si>
    <t>Or other factors also?</t>
  </si>
  <si>
    <t>Mexico v strong</t>
  </si>
  <si>
    <t>$2m so far, how to think about in the future?</t>
  </si>
  <si>
    <t>Own funds</t>
  </si>
  <si>
    <t>Even if lower in the short-term</t>
  </si>
  <si>
    <t>Financial services largest</t>
  </si>
  <si>
    <t>wallets 1%</t>
  </si>
  <si>
    <t>crypto smaller</t>
  </si>
  <si>
    <t>run through a little more this segment (ex wallets/crypto)</t>
  </si>
  <si>
    <t>What's driving this</t>
  </si>
  <si>
    <t>Step down in EBITDA margins in FY 22</t>
  </si>
  <si>
    <t>Hiring</t>
  </si>
  <si>
    <t>12% and 8% of revenue in Q4 and 2022</t>
  </si>
  <si>
    <t>Lower gross profit margins</t>
  </si>
  <si>
    <t>Should expand</t>
  </si>
  <si>
    <t>Operating with no problems</t>
  </si>
  <si>
    <t>How thinking about for 2023</t>
  </si>
  <si>
    <t>Talked about Nigeria..</t>
  </si>
  <si>
    <t>55% of merchants use both x-border, l 2 l</t>
  </si>
  <si>
    <t>Argentina lower (normally higher)</t>
  </si>
  <si>
    <t>Some lower take rate merchants</t>
  </si>
  <si>
    <t>Guidance margins</t>
  </si>
  <si>
    <t>Argentina also</t>
  </si>
  <si>
    <t>Short-term impact…intend to charge for it</t>
  </si>
  <si>
    <t>Gross profit margin</t>
  </si>
  <si>
    <t>Focus on $</t>
  </si>
  <si>
    <t>Net take rates will come down over time</t>
  </si>
  <si>
    <t>Expect to normalise in very short term</t>
  </si>
  <si>
    <t>Paid back a loan in the quarter, business as usual</t>
  </si>
  <si>
    <t>$40m of buy back already</t>
  </si>
  <si>
    <t>Gross take rate very high in Argentina</t>
  </si>
  <si>
    <t>net should be in-line for both countries</t>
  </si>
  <si>
    <t>Steadily decreasing, driver of lower margins?</t>
  </si>
  <si>
    <t>Q1 gross margin reasonable for FY outlook</t>
  </si>
  <si>
    <t>Q4 take-rate step down?</t>
  </si>
  <si>
    <t>Higher local 2 local in certain geos</t>
  </si>
  <si>
    <t>No discounts</t>
  </si>
  <si>
    <t>Fin services</t>
  </si>
  <si>
    <t>remittance companies</t>
  </si>
  <si>
    <t>partnerships, get distrubution</t>
  </si>
  <si>
    <t>Flight Wire - education targets</t>
  </si>
  <si>
    <t>No shift for existing merchants</t>
  </si>
  <si>
    <t>Winning for merchants doing local to local</t>
  </si>
  <si>
    <t>Guarantees</t>
  </si>
  <si>
    <t>Have an impact on financial income</t>
  </si>
  <si>
    <t>EBITDA (adj)</t>
  </si>
  <si>
    <t>Warranties</t>
  </si>
  <si>
    <t>$53m</t>
  </si>
  <si>
    <t>10-15 merchants in total, cancelled mostly in Q2</t>
  </si>
  <si>
    <t>cash collateral for credit</t>
  </si>
  <si>
    <t>put cash into escrow, in citibank</t>
  </si>
  <si>
    <t xml:space="preserve">cash to citi </t>
  </si>
  <si>
    <t>lines of credit lines in EM…in different countries</t>
  </si>
  <si>
    <t>2-3 merchants</t>
  </si>
  <si>
    <t>advancements</t>
  </si>
  <si>
    <t>5 days of TPV</t>
  </si>
  <si>
    <t>for now credit risk</t>
  </si>
  <si>
    <t>paid back (of the 13)</t>
  </si>
  <si>
    <t>Number will decrease mostly in Q2 (audit), completed today</t>
  </si>
  <si>
    <t>Cancelled bank loan</t>
  </si>
  <si>
    <t>no loans outstanding</t>
  </si>
  <si>
    <t>Trade payables</t>
  </si>
  <si>
    <t>10-12</t>
  </si>
  <si>
    <t>reduction from Q3 to Q4</t>
  </si>
  <si>
    <t>merchants asked to reduce the settlement period</t>
  </si>
  <si>
    <t>Merchant funds</t>
  </si>
  <si>
    <t>Other assets - restricted assets</t>
  </si>
  <si>
    <t>Merchants - what is going on?</t>
  </si>
  <si>
    <t>Compliance team asking</t>
  </si>
  <si>
    <t>No merchants left</t>
  </si>
  <si>
    <t>&lt;1% churn may have continued</t>
  </si>
  <si>
    <t>Many things in Q4</t>
  </si>
  <si>
    <t>l 2 l</t>
  </si>
  <si>
    <t>WorldPay</t>
  </si>
  <si>
    <t>Buen Fin, v strong, v big, low take rate</t>
  </si>
  <si>
    <t>Didn't focus on cost as much</t>
  </si>
  <si>
    <t>10% take rate, fallen a little now. Net take is higher</t>
  </si>
  <si>
    <t>oppo in 2023, seeing more volumes - healthy growth vs Q4</t>
  </si>
  <si>
    <t>Argentina 8-10 years ago</t>
  </si>
  <si>
    <t>efficient as high cost/local market</t>
  </si>
  <si>
    <t>Guide for FY 23</t>
  </si>
  <si>
    <t>40%+ EBITDA</t>
  </si>
  <si>
    <t>50%+ revenues</t>
  </si>
  <si>
    <t>gross in the middle</t>
  </si>
  <si>
    <t xml:space="preserve">TPV </t>
  </si>
  <si>
    <t>Rest of Group</t>
  </si>
  <si>
    <t>Take rate (net)</t>
  </si>
  <si>
    <t>Change in revenue (q/q)</t>
  </si>
  <si>
    <t>FX exposure</t>
  </si>
  <si>
    <t xml:space="preserve">In cross border transactions, the Group or the merchants may bear foreign exchange risk depending on each agreement. </t>
  </si>
  <si>
    <t xml:space="preserve">The foreign exchange fees charged to merchants are based on a fixed fee per transaction or fixed percentage of the transaction value. </t>
  </si>
  <si>
    <t xml:space="preserve">When the Group bears the foreign exchange risk, it occurs from the time the transaction in local currency is authorized until the Group converts the money to foreign currency (USD or EUR for payins) </t>
  </si>
  <si>
    <t>and from the time the Group receives the money from the merchant until the Group converts the money to local currency (for payouts).</t>
  </si>
  <si>
    <t>(From 2022 20F, page 202)</t>
  </si>
  <si>
    <t>which in 2022 are offset by the change in fair value of the spot element of certain derivatives designated as hedging instruments.</t>
  </si>
  <si>
    <t xml:space="preserve">Cost of services also includes foreign exchange gains or losses on the processed volume between the processing date and the expatriation or repatriation of funds date, </t>
  </si>
  <si>
    <t>what is the settlement period?</t>
  </si>
  <si>
    <t>CoF</t>
  </si>
  <si>
    <t>Lose</t>
  </si>
  <si>
    <t>Gain</t>
  </si>
  <si>
    <t>Spot element of hedge</t>
  </si>
  <si>
    <t>FX losses over settlement period</t>
  </si>
  <si>
    <t>Close to zero</t>
  </si>
  <si>
    <t>Forward element of hedge</t>
  </si>
  <si>
    <t>(implicit interest rate included in the hedge)</t>
  </si>
  <si>
    <t>Foreign exchange loss</t>
  </si>
  <si>
    <t>X-border - charge a fee, cost +</t>
  </si>
  <si>
    <t>Soledad</t>
  </si>
  <si>
    <t>broker fee</t>
  </si>
  <si>
    <t>cost of hedge, window/settlement period</t>
  </si>
  <si>
    <t>settlement period…up to 10 days</t>
  </si>
  <si>
    <t>some countries where very cheap</t>
  </si>
  <si>
    <t>no liquidity in places like Nigeria</t>
  </si>
  <si>
    <t>Interest income from settlement period</t>
  </si>
  <si>
    <t>Broker fee</t>
  </si>
  <si>
    <t>l2l</t>
  </si>
  <si>
    <t xml:space="preserve">X-border </t>
  </si>
  <si>
    <t xml:space="preserve">gross </t>
  </si>
  <si>
    <t>100 bps</t>
  </si>
  <si>
    <t>X-border vols are not dropping</t>
  </si>
  <si>
    <t>l2l is a newer business</t>
  </si>
  <si>
    <t>Adding value here in l2l not just repatriation</t>
  </si>
  <si>
    <t>x-border as a % mix will decline</t>
  </si>
  <si>
    <t>Q1 23</t>
  </si>
  <si>
    <t>Africa</t>
  </si>
  <si>
    <t>Actual</t>
  </si>
  <si>
    <t>Geographic contribution</t>
  </si>
  <si>
    <t>Other Africa/Asia</t>
  </si>
  <si>
    <t>Growth contribution</t>
  </si>
  <si>
    <t>Q1 23 call</t>
  </si>
  <si>
    <t>Do you want to see higher revenue concentration?</t>
  </si>
  <si>
    <t>one merchant</t>
  </si>
  <si>
    <t>6/10 top ten merchants</t>
  </si>
  <si>
    <t>3% POPs have a credit card</t>
  </si>
  <si>
    <t>Net take rate in-line, gross is lower</t>
  </si>
  <si>
    <t>Accessing FX</t>
  </si>
  <si>
    <t>tpv</t>
  </si>
  <si>
    <t>net revs</t>
  </si>
  <si>
    <t>net take</t>
  </si>
  <si>
    <t>gross revs</t>
  </si>
  <si>
    <t>gross take</t>
  </si>
  <si>
    <t>net / gross margin</t>
  </si>
  <si>
    <t>costs</t>
  </si>
  <si>
    <t>Hedges</t>
  </si>
  <si>
    <t>Net take rate comparable, lower gross margin i.e. high gross take rate</t>
  </si>
  <si>
    <t>As costs come down, pass onto merchants?</t>
  </si>
  <si>
    <t>Cash shortages in Nigeria</t>
  </si>
  <si>
    <t>Regulation</t>
  </si>
  <si>
    <t>Forward element of hedge in financial expenses</t>
  </si>
  <si>
    <t>Confirm guidance</t>
  </si>
  <si>
    <t>Excluding Nigeria</t>
  </si>
  <si>
    <t>Verve credit cards</t>
  </si>
  <si>
    <t>Strict capital controls</t>
  </si>
  <si>
    <t>Access FX at the official rate</t>
  </si>
  <si>
    <t>Good quarter, good trends coming back. Complex market</t>
  </si>
  <si>
    <t>Merchants reliant</t>
  </si>
  <si>
    <t>Deval in Argentina</t>
  </si>
  <si>
    <t>Revenue flattish, why?</t>
  </si>
  <si>
    <t>Constant deval. No impact on expatriation</t>
  </si>
  <si>
    <t>No impact</t>
  </si>
  <si>
    <t>Cash in USD</t>
  </si>
  <si>
    <t>Keep</t>
  </si>
  <si>
    <t>Merchants access official, some access with informal</t>
  </si>
  <si>
    <t>Pass on</t>
  </si>
  <si>
    <t>Expatriate at official</t>
  </si>
  <si>
    <t>No money in Argentina</t>
  </si>
  <si>
    <t>Product getting better over time</t>
  </si>
  <si>
    <t>Net take rate is higher than group average</t>
  </si>
  <si>
    <t>Settlement period shorter in Q4 and back to normal in Q1</t>
  </si>
  <si>
    <t xml:space="preserve"> Nigeria</t>
  </si>
  <si>
    <t xml:space="preserve"> Other</t>
  </si>
  <si>
    <t>Very well diversified</t>
  </si>
  <si>
    <t>Lower open positions in Argentina, hence lower</t>
  </si>
  <si>
    <t>Gross take rate</t>
  </si>
  <si>
    <t>Gross (/net) profit take rate</t>
  </si>
  <si>
    <t>Processing/other costs</t>
  </si>
  <si>
    <t>Q2 23</t>
  </si>
  <si>
    <t>EBITDA to gross profit</t>
  </si>
  <si>
    <t>Brazil in BRL</t>
  </si>
  <si>
    <t>Q2 24E</t>
  </si>
  <si>
    <t>Q3 24E</t>
  </si>
  <si>
    <t>Q4 24E</t>
  </si>
  <si>
    <t>"Rule of 40" (EBITDA margin to GP + GP growth; GP as proxy for revs)</t>
  </si>
  <si>
    <t>Interest on cash / Argentine bonds?</t>
  </si>
  <si>
    <t>Money market</t>
  </si>
  <si>
    <t>M2M Argentina</t>
  </si>
  <si>
    <t>Naira deval</t>
  </si>
  <si>
    <t>Large impact for a couple of weeks? Big step down into Q3?</t>
  </si>
  <si>
    <t>Wasatch</t>
  </si>
  <si>
    <t>Atmos</t>
  </si>
  <si>
    <t>Shareholders</t>
  </si>
  <si>
    <t>Pedro lived there before, same building</t>
  </si>
  <si>
    <t>Pedro is Brazilian.. Many years lived in Argentina</t>
  </si>
  <si>
    <t>Safety</t>
  </si>
  <si>
    <t>Economic and political stability…rules don't simply change</t>
  </si>
  <si>
    <t>Tax benefits</t>
  </si>
  <si>
    <t>Always say scratching the service…result of land and expand</t>
  </si>
  <si>
    <t>Growth came from a few merchants: commerce, adv and streaming</t>
  </si>
  <si>
    <t>local 2 local higher, also x border</t>
  </si>
  <si>
    <t>all existing customers in brazil</t>
  </si>
  <si>
    <t>not related to Adyen result..</t>
  </si>
  <si>
    <t>platform solutions</t>
  </si>
  <si>
    <t>pay ins/outs</t>
  </si>
  <si>
    <t>need to be able to onboard multiple clients, KYC program is rapid, split payments</t>
  </si>
  <si>
    <t>ride hailing comes under platforms</t>
  </si>
  <si>
    <t>drivers onto the platform</t>
  </si>
  <si>
    <t>$6m was the devaluation</t>
  </si>
  <si>
    <t>for existing merchants can start to move quickly</t>
  </si>
  <si>
    <t>new merchants, maybe not</t>
  </si>
  <si>
    <t>had to use unofficial rate</t>
  </si>
  <si>
    <t>use official rate, tend to reprice, everything in $ terms</t>
  </si>
  <si>
    <t>large merchants can expatriate at official rate</t>
  </si>
  <si>
    <t>pay out</t>
  </si>
  <si>
    <t>local 2 local</t>
  </si>
  <si>
    <t>some pesos…hedged</t>
  </si>
  <si>
    <t>then recognise profit</t>
  </si>
  <si>
    <t>expatriation</t>
  </si>
  <si>
    <t>Bond</t>
  </si>
  <si>
    <t>0.4% $ coupon.. $48m invested, in BS $52m bond…marked to market. Fair value gain</t>
  </si>
  <si>
    <t>TV 24 Argentina bond, due Apr-24</t>
  </si>
  <si>
    <t>$ linked, so protected against inflation</t>
  </si>
  <si>
    <t>money market..</t>
  </si>
  <si>
    <t>Brazil, Argentina, other countries</t>
  </si>
  <si>
    <t>Investment gains?</t>
  </si>
  <si>
    <t>Don’t think it needs to be a lot</t>
  </si>
  <si>
    <t>Been growing</t>
  </si>
  <si>
    <t>Processes and systems</t>
  </si>
  <si>
    <t>not a huge deployment of money</t>
  </si>
  <si>
    <t>Pedro</t>
  </si>
  <si>
    <t>Will do investment facing stuff</t>
  </si>
  <si>
    <t>MS Stanley conference</t>
  </si>
  <si>
    <t>Sept 11-12th</t>
  </si>
  <si>
    <t>LatAm financial..?</t>
  </si>
  <si>
    <t>x border (most of vols)</t>
  </si>
  <si>
    <t>Quarterly</t>
  </si>
  <si>
    <t>Annual</t>
  </si>
  <si>
    <t>Old guidance</t>
  </si>
  <si>
    <t xml:space="preserve">Gross Profit CAGR </t>
  </si>
  <si>
    <t>25-35%</t>
  </si>
  <si>
    <t>EBITDA / Gross profit</t>
  </si>
  <si>
    <t>&gt;75%</t>
  </si>
  <si>
    <t>Capex/gross profit</t>
  </si>
  <si>
    <t>&lt;5%</t>
  </si>
  <si>
    <t>% margin (gross profit)</t>
  </si>
  <si>
    <t>% margin (gross revenue)</t>
  </si>
  <si>
    <t>2026E</t>
  </si>
  <si>
    <t>EBITDA / Gross Profit</t>
  </si>
  <si>
    <t xml:space="preserve">Pedro </t>
  </si>
  <si>
    <t>Investment needed?</t>
  </si>
  <si>
    <t>15 days</t>
  </si>
  <si>
    <t>Step down in Nigeria into Q3</t>
  </si>
  <si>
    <t>Pace which Brazil came through in Q2…? More to run?</t>
  </si>
  <si>
    <t>Mexico also strong, overlap of merchants also?</t>
  </si>
  <si>
    <t>$6m for 2 weeks…</t>
  </si>
  <si>
    <t>Did $20m in Q2….single digits?</t>
  </si>
  <si>
    <t>What will Pedro bring…what's he been saying?</t>
  </si>
  <si>
    <t>Platforms solution</t>
  </si>
  <si>
    <t>Food delivery business</t>
  </si>
  <si>
    <t>use platforms</t>
  </si>
  <si>
    <t>don’t use</t>
  </si>
  <si>
    <t>SoW</t>
  </si>
  <si>
    <t>How much variation is within this</t>
  </si>
  <si>
    <t>Top 10 merchants</t>
  </si>
  <si>
    <t>How much TPV</t>
  </si>
  <si>
    <t>Q3 2023 outlook</t>
  </si>
  <si>
    <t>Much of the growth was anticipated in Q2</t>
  </si>
  <si>
    <t>Q3 seasonally a little quieter, whilst Q4 tends to be stronger</t>
  </si>
  <si>
    <t>Revenue impacted by Nigeria</t>
  </si>
  <si>
    <t xml:space="preserve">Argentina - merchants holding back..election mode </t>
  </si>
  <si>
    <t>Q2 - more local FX stuck in country…high cost of hedge</t>
  </si>
  <si>
    <t>hold pesos…hedge that</t>
  </si>
  <si>
    <t>most merchants are not allowed to appropriate now</t>
  </si>
  <si>
    <t>some local 2 local, most want to do x-border</t>
  </si>
  <si>
    <t>not really new interest in Argentina…last year or so</t>
  </si>
  <si>
    <t>netflix and spotify…</t>
  </si>
  <si>
    <t>Still lumpiness</t>
  </si>
  <si>
    <t>given small</t>
  </si>
  <si>
    <t xml:space="preserve">trends for the year </t>
  </si>
  <si>
    <t>Up a little due to Pedro…Q2 was low back up to Q1</t>
  </si>
  <si>
    <t>Pedro is based over 5 years vesting</t>
  </si>
  <si>
    <t>Cash comp is below market….granted stock/restricted shares…mostly back end loaded</t>
  </si>
  <si>
    <t>No performance guarantees</t>
  </si>
  <si>
    <t>Signed contract for X amount of shares</t>
  </si>
  <si>
    <t>Plans for Pedro</t>
  </si>
  <si>
    <t>No drastic, no change in strategy</t>
  </si>
  <si>
    <t>Review level of investment…will see</t>
  </si>
  <si>
    <t>Financial income/exp</t>
  </si>
  <si>
    <t>Expense bigger</t>
  </si>
  <si>
    <t>Other $50m of bond in July..M2M</t>
  </si>
  <si>
    <t>Accounting gain</t>
  </si>
  <si>
    <t>Offset by cost of hedge</t>
  </si>
  <si>
    <t>BV947462 Corp</t>
  </si>
  <si>
    <t>Vs NSR*</t>
  </si>
  <si>
    <t>Vs Cons*</t>
  </si>
  <si>
    <t>* Using the mid-point of the range</t>
  </si>
  <si>
    <t>"Mid-term"</t>
  </si>
  <si>
    <t xml:space="preserve">Mid-term guidance </t>
  </si>
  <si>
    <t>(June '23 investor day)</t>
  </si>
  <si>
    <t>EBITDA margin (NSR)</t>
  </si>
  <si>
    <t>EBITDA margin (Consensus)</t>
  </si>
  <si>
    <t>Mid-term guide (greater than)</t>
  </si>
  <si>
    <t>Rapyd</t>
  </si>
  <si>
    <t>Fintech-as-a-Service provider</t>
  </si>
  <si>
    <t>Acquired PayU's GPO (Global Payments Org)</t>
  </si>
  <si>
    <t>ex-India</t>
  </si>
  <si>
    <t>Advanced global E-Comm solutions across LatAm, Central Europe and Africa</t>
  </si>
  <si>
    <t>$610m</t>
  </si>
  <si>
    <t>$34 billion</t>
  </si>
  <si>
    <t>30% of PayU revs</t>
  </si>
  <si>
    <t>FY 23</t>
  </si>
  <si>
    <t>Prosus</t>
  </si>
  <si>
    <t>FY 18</t>
  </si>
  <si>
    <t>Prosus (Payments &amp; Fintech)</t>
  </si>
  <si>
    <t>Core PSP</t>
  </si>
  <si>
    <t>%</t>
  </si>
  <si>
    <t>GPO</t>
  </si>
  <si>
    <t xml:space="preserve"> - of which Turkey</t>
  </si>
  <si>
    <t xml:space="preserve"> - of which Other</t>
  </si>
  <si>
    <t xml:space="preserve"> - of which SE Asia</t>
  </si>
  <si>
    <t>Paid, $m</t>
  </si>
  <si>
    <t>Multiple to revs</t>
  </si>
  <si>
    <t>(Latam, CE, Africa)</t>
  </si>
  <si>
    <t>Merchant acquisition costs</t>
  </si>
  <si>
    <t>M&amp;A driven approach</t>
  </si>
  <si>
    <t>Jan-21 funding round, $2.5 billion</t>
  </si>
  <si>
    <t>Israeli origin</t>
  </si>
  <si>
    <t>Kushki</t>
  </si>
  <si>
    <t>Ecuadorean</t>
  </si>
  <si>
    <t xml:space="preserve">Acquired regional Acquiring licence in Oct-23, becoming </t>
  </si>
  <si>
    <t>Mexico, Chile, Peru and Colombia</t>
  </si>
  <si>
    <t>Primary membership with V/MA</t>
  </si>
  <si>
    <t>First non-bank entity to receive approval to operate as an Acquirer</t>
  </si>
  <si>
    <t>Kushki Mundial</t>
  </si>
  <si>
    <t>"As a service"?</t>
  </si>
  <si>
    <t>Are they signing up merchants?</t>
  </si>
  <si>
    <t>1Q24E</t>
  </si>
  <si>
    <t>2Q24E</t>
  </si>
  <si>
    <t>`</t>
  </si>
  <si>
    <t>3Q24E</t>
  </si>
  <si>
    <t>4Q24E</t>
  </si>
  <si>
    <t>Q3 23</t>
  </si>
  <si>
    <t>Rule of 40*</t>
  </si>
  <si>
    <t>* Calculated by adding gross profit y/y growth for the period to adjusted ebitda / gross profit</t>
  </si>
  <si>
    <t>Q3 2023</t>
  </si>
  <si>
    <t xml:space="preserve">$10m more </t>
  </si>
  <si>
    <t>l2l in Nigeria very small</t>
  </si>
  <si>
    <t>Everything hedged in Argentina</t>
  </si>
  <si>
    <t>Clarity on rules helps global merchants</t>
  </si>
  <si>
    <t>Financial Services</t>
  </si>
  <si>
    <t>Worldpay, Flywire</t>
  </si>
  <si>
    <t>Utilise dLocal for last mile</t>
  </si>
  <si>
    <t>Flywire - universities and hospital</t>
  </si>
  <si>
    <t>Devaluation</t>
  </si>
  <si>
    <t>Inflation accounting?</t>
  </si>
  <si>
    <t>Reviewing business</t>
  </si>
  <si>
    <t>Always take a long-term view</t>
  </si>
  <si>
    <t>Removal of uncertainty bodes well for Argentina</t>
  </si>
  <si>
    <t>Impact depends on how fast merchants reprice</t>
  </si>
  <si>
    <t>Most have underlying $ charge</t>
  </si>
  <si>
    <t>Peso is fully hedged / almost entirely hedged</t>
  </si>
  <si>
    <t>Invest in foundations</t>
  </si>
  <si>
    <t>Existing work to scope where else to strengthen</t>
  </si>
  <si>
    <t>Partnerships with banks</t>
  </si>
  <si>
    <t>Conclude on whether to change guidance is not now</t>
  </si>
  <si>
    <t>Continuous growth, YE - should be enough to reinvest</t>
  </si>
  <si>
    <t>Required by IFRS</t>
  </si>
  <si>
    <t>Non cash - need to restate revs, costs etc on current prices and / new exchange rate</t>
  </si>
  <si>
    <t>Deval was main driver of the loss in P&amp;L</t>
  </si>
  <si>
    <t>Instruments</t>
  </si>
  <si>
    <t>Bond which has derivative which trades at M2M - some dislocations between derivative/M2M loss</t>
  </si>
  <si>
    <t>At maturity.. Perfect hedge</t>
  </si>
  <si>
    <t>USD dollars that invested in Argentina generate an interco loan on Argentina BS. In USD</t>
  </si>
  <si>
    <t>Payment licence in Brazil in July</t>
  </si>
  <si>
    <t>Strength across most verticals</t>
  </si>
  <si>
    <t>Mostly though in Commerce</t>
  </si>
  <si>
    <t>Platform is driving, launched last year</t>
  </si>
  <si>
    <t>Global marketplaces / complex problems across markets</t>
  </si>
  <si>
    <t>New accounting officer</t>
  </si>
  <si>
    <t>New vs NRR</t>
  </si>
  <si>
    <t>Pipeline looks very healthy.. A natural lag with this metric</t>
  </si>
  <si>
    <t>Onboarded the biggest company in the world</t>
  </si>
  <si>
    <t>70% across 40 Ems...therefore yes need some back office invs</t>
  </si>
  <si>
    <t>Payments + compliance / regulation layer</t>
  </si>
  <si>
    <t>Value chain</t>
  </si>
  <si>
    <t>move primarily through global / national and regional banks</t>
  </si>
  <si>
    <t>a second layer of solidity</t>
  </si>
  <si>
    <t>Global banks</t>
  </si>
  <si>
    <t>Educating on carrying out repatriation</t>
  </si>
  <si>
    <t>Vast majority of fund flows / forex / derivatives through large institutions</t>
  </si>
  <si>
    <t>Multi vertical global leader - top 5 in the world</t>
  </si>
  <si>
    <t>Effective tax</t>
  </si>
  <si>
    <t>Why going up?</t>
  </si>
  <si>
    <t>Concentration of top 10</t>
  </si>
  <si>
    <t>Country and product mix drives this…seen l2l business which is local taxes higher than average</t>
  </si>
  <si>
    <t>inflation adjustment which is non deductible</t>
  </si>
  <si>
    <t>Don't manage to this metric</t>
  </si>
  <si>
    <t>Testement to higher share of wallet</t>
  </si>
  <si>
    <t>Aspire to having 500 largest digital companies in the world</t>
  </si>
  <si>
    <t>Top 10 mix changes…3 are different in Q3</t>
  </si>
  <si>
    <t>Platform</t>
  </si>
  <si>
    <t>Financial services vertical..distribution/off ramp for certain merchants</t>
  </si>
  <si>
    <t>One partner lost a client, which explains the decline</t>
  </si>
  <si>
    <t>BUT gained direct access to the client</t>
  </si>
  <si>
    <t>In-line with historic trends</t>
  </si>
  <si>
    <t>Dollarisation?</t>
  </si>
  <si>
    <t>take some time</t>
  </si>
  <si>
    <t>certainty higher, more customers will use</t>
  </si>
  <si>
    <t>should be one of top 3 countries by volume</t>
  </si>
  <si>
    <t xml:space="preserve">x-border settlement </t>
  </si>
  <si>
    <t>No churn in DLO merchant base, Fin Services</t>
  </si>
  <si>
    <t>Fin Services lost some customers</t>
  </si>
  <si>
    <t>direct integration</t>
  </si>
  <si>
    <t>if big depreciation of FX, no impact?</t>
  </si>
  <si>
    <t>1/ Have hedges on Argentine positions covering deval. Prior to maturity instruments M2M, if instruments M2M doesn’t follow hedge (as in Q3)</t>
  </si>
  <si>
    <t>2/ IFRS inflation adjs can impact</t>
  </si>
  <si>
    <t>3/ Speed merchants re-price for $ values</t>
  </si>
  <si>
    <t>Large drop q/q?? Was stable</t>
  </si>
  <si>
    <t xml:space="preserve">&lt;15% of revenue…believe worst is behind us </t>
  </si>
  <si>
    <t>Cash position</t>
  </si>
  <si>
    <t>Lower settlement period</t>
  </si>
  <si>
    <t>Platform solution (not just Commerce) was part of driver behind Commerce strength</t>
  </si>
  <si>
    <t>Solution has been taylor built for markets offered…one reason why share of wallet up, or move entirely from other operators</t>
  </si>
  <si>
    <t>Negotiation terms in Brazil…have higher than average periods - 30 days, down to 15 days. This is a one off impact of $60m</t>
  </si>
  <si>
    <t>doesn't impact going forward</t>
  </si>
  <si>
    <t>negative WC is maintained</t>
  </si>
  <si>
    <t>own cash generation…$45m. Add to the $20m restricted cash leads to $65m</t>
  </si>
  <si>
    <t>$60m invested in Argentine bonds</t>
  </si>
  <si>
    <t>L2L</t>
  </si>
  <si>
    <t>Growing as also use for local processing</t>
  </si>
  <si>
    <t>Large opportunity to help global remittances with last mile into the markets we're in</t>
  </si>
  <si>
    <t>y/y evolution v good, slightly impacted by fin services churn (Chile)</t>
  </si>
  <si>
    <t>Multi countries</t>
  </si>
  <si>
    <t>Operating leverage</t>
  </si>
  <si>
    <t>Large merchants leads to take rate pressure…TPV will continue to grow faster than Gross profit</t>
  </si>
  <si>
    <t>EBITDA % - don’t think focus on significant margin expansion for some time…need to continue to invest</t>
  </si>
  <si>
    <t>Follow up at Nasdaq Conference</t>
  </si>
  <si>
    <t>Shorter settlement period for merchants?</t>
  </si>
  <si>
    <t>why does this impact consolidated cash</t>
  </si>
  <si>
    <t>Impact of repatriating funds in Argentina that were outstanding</t>
  </si>
  <si>
    <t>Revenue contribution</t>
  </si>
  <si>
    <t>60% from 53% over last 12 months</t>
  </si>
  <si>
    <t>Intercompany loan</t>
  </si>
  <si>
    <t>Argentina instrument $ linked</t>
  </si>
  <si>
    <t>Revenue picture</t>
  </si>
  <si>
    <t>Cost</t>
  </si>
  <si>
    <t>Meeting with Pedro</t>
  </si>
  <si>
    <t>Modest</t>
  </si>
  <si>
    <t>Net revenue / Gross Profit growth</t>
  </si>
  <si>
    <t>Low 20%'s to high 20%'s</t>
  </si>
  <si>
    <t>&gt;50%</t>
  </si>
  <si>
    <t>2023-26e</t>
  </si>
  <si>
    <t>Mid-term</t>
  </si>
  <si>
    <t>Mid 20%s to mid 30%'s</t>
  </si>
  <si>
    <t>LT</t>
  </si>
  <si>
    <t>&gt;65% ??</t>
  </si>
  <si>
    <t>Implied Rule of 40 (mid-point)</t>
  </si>
  <si>
    <t xml:space="preserve"> - of which Wages/salaries</t>
  </si>
  <si>
    <t>as % total</t>
  </si>
  <si>
    <t>Wages/salaries</t>
  </si>
  <si>
    <t>Stock comp</t>
  </si>
  <si>
    <t>Wages/comp as % revenue</t>
  </si>
  <si>
    <t>H1 23</t>
  </si>
  <si>
    <t>H2 22</t>
  </si>
  <si>
    <t>H1 22</t>
  </si>
  <si>
    <t>H2 21</t>
  </si>
  <si>
    <t>H1 21</t>
  </si>
  <si>
    <t>H2 20</t>
  </si>
  <si>
    <t>Wages/comp per FTE, EUR</t>
  </si>
  <si>
    <t>Wages/comp per FTE, $</t>
  </si>
  <si>
    <t>$/EUR</t>
  </si>
  <si>
    <t>DLO, $</t>
  </si>
  <si>
    <t>Adyen, EUR</t>
  </si>
  <si>
    <t>H1 20</t>
  </si>
  <si>
    <t>as % net revenue</t>
  </si>
  <si>
    <t>Consumer spending</t>
  </si>
  <si>
    <t>EM</t>
  </si>
  <si>
    <t>DM</t>
  </si>
  <si>
    <t>Canada</t>
  </si>
  <si>
    <t>US</t>
  </si>
  <si>
    <t>Australia</t>
  </si>
  <si>
    <t>China</t>
  </si>
  <si>
    <t>Japan</t>
  </si>
  <si>
    <t>Malaysia</t>
  </si>
  <si>
    <t>New Zealand</t>
  </si>
  <si>
    <t>Philippines</t>
  </si>
  <si>
    <t>Singapore</t>
  </si>
  <si>
    <t>South Korea</t>
  </si>
  <si>
    <t>Taiwan</t>
  </si>
  <si>
    <t>France</t>
  </si>
  <si>
    <t>Italy</t>
  </si>
  <si>
    <t>Spain</t>
  </si>
  <si>
    <t>UK</t>
  </si>
  <si>
    <t>Top 10 merchants share of</t>
  </si>
  <si>
    <t>Shein, Nike in Mexico</t>
  </si>
  <si>
    <t>clean net (after share comp)</t>
  </si>
  <si>
    <t>By Country split</t>
  </si>
  <si>
    <t>Brazil, BRL</t>
  </si>
  <si>
    <t>FY 2023E</t>
  </si>
  <si>
    <t>FY 2024E</t>
  </si>
  <si>
    <t>Argentina, USD</t>
  </si>
  <si>
    <t>% q/q</t>
  </si>
  <si>
    <t>% y/y</t>
  </si>
  <si>
    <t>Quarterly inflation</t>
  </si>
  <si>
    <t>monthly</t>
  </si>
  <si>
    <t>% change q/q</t>
  </si>
  <si>
    <t>USD/BRL</t>
  </si>
  <si>
    <t>USD/FX</t>
  </si>
  <si>
    <t>Group ex-Argentina</t>
  </si>
  <si>
    <t>higher</t>
  </si>
  <si>
    <t>lower</t>
  </si>
  <si>
    <t>slightly higher</t>
  </si>
  <si>
    <t>slightly lower</t>
  </si>
  <si>
    <t>Rationale</t>
  </si>
  <si>
    <t>slightly higher, have a higher share APMs, higher processing costs</t>
  </si>
  <si>
    <t>ride-hailing, streaming (paying content creators) also significant</t>
  </si>
  <si>
    <t>Comments</t>
  </si>
  <si>
    <t>a lot of Pay outs is financial services, serving PSPs looking to reach EM &amp; remittance companies</t>
  </si>
  <si>
    <t>growth driven by fin services (comment as of Q2 23)</t>
  </si>
  <si>
    <t>platforms are a part of pay outs, but a smaller part (not all ride hailers etc opt for Platform solution)</t>
  </si>
  <si>
    <t>Platforms</t>
  </si>
  <si>
    <t>can be Pay-in or Pay-out or both (x 2 TPV)</t>
  </si>
  <si>
    <t>Local 2 local</t>
  </si>
  <si>
    <t>Cross border</t>
  </si>
  <si>
    <t>much higher</t>
  </si>
  <si>
    <t>much lower</t>
  </si>
  <si>
    <t>somewhat higher</t>
  </si>
  <si>
    <t>somewhat lower</t>
  </si>
  <si>
    <t>strong platforms biz in Q2 23 (Shein)</t>
  </si>
  <si>
    <t>Brazil - higher weighting toward local to local</t>
  </si>
  <si>
    <t>cross-border - no WTH raised by merchants. With l2l, tax is collected by the local merchant</t>
  </si>
  <si>
    <t>process locally, settle abroad</t>
  </si>
  <si>
    <t>process locally, settle locally</t>
  </si>
  <si>
    <t>Pay-in - settling multiple purchases to different sellers is what dLocal can do</t>
  </si>
  <si>
    <t>mostly through bank transfers, low processing costs</t>
  </si>
  <si>
    <t>Net take rate</t>
  </si>
  <si>
    <t>As % group</t>
  </si>
  <si>
    <t>20th Dec</t>
  </si>
  <si>
    <t>Gross profit share slightly higher than &gt;15%</t>
  </si>
  <si>
    <t xml:space="preserve">Argentina </t>
  </si>
  <si>
    <t>very high expatriation cost</t>
  </si>
  <si>
    <t>until Q2 had access to official for some merchants</t>
  </si>
  <si>
    <t>solve for a lot of complexities</t>
  </si>
  <si>
    <t>net pay ins with pay outs…more efficient</t>
  </si>
  <si>
    <t>Deval</t>
  </si>
  <si>
    <t>12 Dec..</t>
  </si>
  <si>
    <t>Netflix….linked to $ rate</t>
  </si>
  <si>
    <t>Depends on how fast</t>
  </si>
  <si>
    <t>Most is cross border</t>
  </si>
  <si>
    <t>Hyperfinflation</t>
  </si>
  <si>
    <t>Most costs in ARS are in pesos</t>
  </si>
  <si>
    <t>P&amp;L in Argentina only local 2 local</t>
  </si>
  <si>
    <t>Stock - mainly Argentina</t>
  </si>
  <si>
    <t>Dom Rep</t>
  </si>
  <si>
    <t>Costa Rica</t>
  </si>
  <si>
    <t>20 countries</t>
  </si>
  <si>
    <t>Guatemala</t>
  </si>
  <si>
    <t>merchant strategies…merchants have a base</t>
  </si>
  <si>
    <t>can have a mix, mostly do l2l</t>
  </si>
  <si>
    <t>Payment is a portion of the issue</t>
  </si>
  <si>
    <t>do they want a local presence</t>
  </si>
  <si>
    <t>USD/ARS (average)</t>
  </si>
  <si>
    <t>cross border</t>
  </si>
  <si>
    <t>pay-in</t>
  </si>
  <si>
    <t>pay-out</t>
  </si>
  <si>
    <t>country mix</t>
  </si>
  <si>
    <t>Inv Day recap</t>
  </si>
  <si>
    <t>Amazon took 2 years to join dLocal</t>
  </si>
  <si>
    <t>3-18 months in general to onboard</t>
  </si>
  <si>
    <t>Cross-selling</t>
  </si>
  <si>
    <t>10 countries on average today, will cross-sell more and more</t>
  </si>
  <si>
    <t>Yes, pressure from competition BUT</t>
  </si>
  <si>
    <t>Team in place</t>
  </si>
  <si>
    <t>Africa hard</t>
  </si>
  <si>
    <t>Reg tougher</t>
  </si>
  <si>
    <t>FX controls tougher</t>
  </si>
  <si>
    <t>Huge market</t>
  </si>
  <si>
    <t>1-1.5% of $1 billion cross-border</t>
  </si>
  <si>
    <t>10x growth since GE joined</t>
  </si>
  <si>
    <t>Sustainable competitive advantage</t>
  </si>
  <si>
    <t>Measure as a gross margin high</t>
  </si>
  <si>
    <t>Can charge more - addressing a problem</t>
  </si>
  <si>
    <t>Sustainable?</t>
  </si>
  <si>
    <t>Add value from more countries and more services</t>
  </si>
  <si>
    <t>Collecting taxes on behalf of merchants</t>
  </si>
  <si>
    <t>Yes for some</t>
  </si>
  <si>
    <t>Regulation &amp; taxes, FX rules</t>
  </si>
  <si>
    <t>Payment licences</t>
  </si>
  <si>
    <t>Allow dLocal to collect merchant monies on their behalf</t>
  </si>
  <si>
    <t>Work with local partners/acquirers</t>
  </si>
  <si>
    <t>Smart routing</t>
  </si>
  <si>
    <t>https://www.checkout.com/blog/intelligent-payment-routing-explained</t>
  </si>
  <si>
    <t> Durbin Amendment, part of the Dodd-Frank Wall Street Reform and Consumer Protection Act of 2011</t>
  </si>
  <si>
    <t>interchange fees charged to merchants that accepted debit card payments in the US were capped, as long as those cards were issued by banks with more than $10bn in assets</t>
  </si>
  <si>
    <t>The Amendment also stipulated that issuing banks had to ensure it was possible for all in-person debit card transactions to be processed by at least two card networks</t>
  </si>
  <si>
    <t>This legislation was designed to break up the monopoly of the large card networks and give merchants a way to control their expenses by giving them choice over the most cost-effective way to route payments</t>
  </si>
  <si>
    <t>In-card also from 2023</t>
  </si>
  <si>
    <t>1/ Payment routing through different PSPs (Payment orchestration)</t>
  </si>
  <si>
    <t>2/ Payment routing through different Networks</t>
  </si>
  <si>
    <t>Invoice collection</t>
  </si>
  <si>
    <t>Accounts receivable team</t>
  </si>
  <si>
    <t>white label</t>
  </si>
  <si>
    <t>KYC</t>
  </si>
  <si>
    <t>AWS, Salesforce, Meta, Google</t>
  </si>
  <si>
    <t>Historically helping merchants help with small customers</t>
  </si>
  <si>
    <t>Now help with large paying customers</t>
  </si>
  <si>
    <t>Different to a payments team with technical resource</t>
  </si>
  <si>
    <t>Marketplaces</t>
  </si>
  <si>
    <t>MercadoLibre</t>
  </si>
  <si>
    <t>AliExpress</t>
  </si>
  <si>
    <t>Shopee</t>
  </si>
  <si>
    <t>Cloud/SaaS</t>
  </si>
  <si>
    <t>Delivery Apps</t>
  </si>
  <si>
    <t>Online retail</t>
  </si>
  <si>
    <t>Digital Ads</t>
  </si>
  <si>
    <t>Streaming</t>
  </si>
  <si>
    <t>Gaming</t>
  </si>
  <si>
    <t>Worldwide</t>
  </si>
  <si>
    <t>Rule of 40</t>
  </si>
  <si>
    <t>Mid-term guide (mid-point)</t>
  </si>
  <si>
    <t>Gross Profit</t>
  </si>
  <si>
    <t>OLD</t>
  </si>
  <si>
    <t>NEW</t>
  </si>
  <si>
    <t>Newly issued (net)</t>
  </si>
  <si>
    <t>2024e</t>
  </si>
  <si>
    <t>2025e</t>
  </si>
  <si>
    <t>DLO Q4s</t>
  </si>
  <si>
    <t>Continue to see growth in Brazil and Mexico</t>
  </si>
  <si>
    <t>how fast merchants reprice</t>
  </si>
  <si>
    <t>too early to see</t>
  </si>
  <si>
    <t>will default to Congress etc</t>
  </si>
  <si>
    <t>omnibus - multiple changes..an emergency law</t>
  </si>
  <si>
    <t>netflix…reference price is $</t>
  </si>
  <si>
    <t>in general have't seen being so active in LatAm</t>
  </si>
  <si>
    <t xml:space="preserve">in Brazil before </t>
  </si>
  <si>
    <t>bond</t>
  </si>
  <si>
    <t>m2m - but then hyperinflation adj, so gain reduced</t>
  </si>
  <si>
    <t>loan loss recorded</t>
  </si>
  <si>
    <t>without hyperinflation a net positive</t>
  </si>
  <si>
    <t>reduced</t>
  </si>
  <si>
    <t>$100m</t>
  </si>
  <si>
    <t>Sept</t>
  </si>
  <si>
    <t>Q4</t>
  </si>
  <si>
    <t>Loss - more peso for $100</t>
  </si>
  <si>
    <t>exchange loss</t>
  </si>
  <si>
    <t>Dec</t>
  </si>
  <si>
    <t>net loss</t>
  </si>
  <si>
    <t>get $100m (paid in pesos)</t>
  </si>
  <si>
    <t>nothing different from in the past</t>
  </si>
  <si>
    <t>a lot of hedge funds</t>
  </si>
  <si>
    <t>$/peso close</t>
  </si>
  <si>
    <t>loan in pesos</t>
  </si>
  <si>
    <t>Assumed Africa</t>
  </si>
  <si>
    <t>H1 19</t>
  </si>
  <si>
    <t>H2 19</t>
  </si>
  <si>
    <t>H2 23</t>
  </si>
  <si>
    <t>Net revs LatAm</t>
  </si>
  <si>
    <t>USD (bond) in Argentina generates an intercompany loan on Argentine BS in $</t>
  </si>
  <si>
    <t>Argentine business ows Hold Co the $100m</t>
  </si>
  <si>
    <t>Q4 23</t>
  </si>
  <si>
    <t>ARS</t>
  </si>
  <si>
    <t>$/Ps</t>
  </si>
  <si>
    <t>$</t>
  </si>
  <si>
    <t>Acquisitions</t>
  </si>
  <si>
    <t>loss</t>
  </si>
  <si>
    <t>gain</t>
  </si>
  <si>
    <t xml:space="preserve">$ value </t>
  </si>
  <si>
    <t>peso value</t>
  </si>
  <si>
    <t>Q4 24</t>
  </si>
  <si>
    <t>Loan value</t>
  </si>
  <si>
    <t>Bond (TV 24)</t>
  </si>
  <si>
    <t>Asset/liability</t>
  </si>
  <si>
    <t>(intercompany loan from ARS subsid to Hold Co)</t>
  </si>
  <si>
    <t>ARS price of bond</t>
  </si>
  <si>
    <t xml:space="preserve">But again, this is in gross revenues. On a gross profit level, it’s neutral. Our local-to-local business in Nigeria is very small and that didn’t have any meaningful impact. </t>
  </si>
  <si>
    <t xml:space="preserve">Argentina is a quite different economy. We have, as you know, everything hedged in Argentina, and we don’t have these levels of — most of our business in Argentina has always been an official rate. </t>
  </si>
  <si>
    <t>So we don’t have these levels of difference between official and the unofficial in Argentina.</t>
  </si>
  <si>
    <t>Tax rate - 10 to 18%...L2L in Brazil</t>
  </si>
  <si>
    <t>90/10 - business changed. Only way to do business is unofficial rate</t>
  </si>
  <si>
    <t>Merchant funds has increased as % turnover</t>
  </si>
  <si>
    <t>Q3 has normalised</t>
  </si>
  <si>
    <t>Guidance 2024, $m</t>
  </si>
  <si>
    <t>320-360</t>
  </si>
  <si>
    <t>220-260</t>
  </si>
  <si>
    <t>25-27</t>
  </si>
  <si>
    <t>OpEx</t>
  </si>
  <si>
    <t>EBITDA as % Gross profit</t>
  </si>
  <si>
    <t>Argentina within the guide</t>
  </si>
  <si>
    <t>what assuming for l2l</t>
  </si>
  <si>
    <t>Called out Tier zero account</t>
  </si>
  <si>
    <t>Why mention this now, reflects some recent wins?</t>
  </si>
  <si>
    <t>Concentration of accounts shrinking?</t>
  </si>
  <si>
    <t>How much is $ priced</t>
  </si>
  <si>
    <t>Confirm l2l hyperinflation accounted?</t>
  </si>
  <si>
    <t>How much was this?</t>
  </si>
  <si>
    <t>Why did vols move to l2l</t>
  </si>
  <si>
    <t>merchant decision or consumer mix ?</t>
  </si>
  <si>
    <t>Assume $ revenues will be up from Q1 - given hyperinflation a/c</t>
  </si>
  <si>
    <t>drop in Q4 revs vs Q3?</t>
  </si>
  <si>
    <t>as % GP</t>
  </si>
  <si>
    <t>23-26e</t>
  </si>
  <si>
    <t>Gross profit guide is below the mid-term run rate?</t>
  </si>
  <si>
    <t xml:space="preserve">more detail on what </t>
  </si>
  <si>
    <t>Higher spend at opex..?</t>
  </si>
  <si>
    <t>230,000 sellers for merchant</t>
  </si>
  <si>
    <t>Auto KYC</t>
  </si>
  <si>
    <t>Banking partners / licences</t>
  </si>
  <si>
    <t>what is the tangible benefit of this..cost, deliver more products?</t>
  </si>
  <si>
    <t>Decades not quarters</t>
  </si>
  <si>
    <t>TPV /revs is best indicator of ability to share wallet</t>
  </si>
  <si>
    <t>Demand momentum through Q1</t>
  </si>
  <si>
    <t>q/q decline in cross border. Temp shift to l2l</t>
  </si>
  <si>
    <t>deval</t>
  </si>
  <si>
    <t>Is GP in Argentina positive for Q4? Will it be going forward?</t>
  </si>
  <si>
    <t>Tech, products people</t>
  </si>
  <si>
    <t>Tax rate</t>
  </si>
  <si>
    <t>Higher due to l2l, ifrs adjs non tax deductible</t>
  </si>
  <si>
    <t>Invest</t>
  </si>
  <si>
    <t>Engineering</t>
  </si>
  <si>
    <t>Back office</t>
  </si>
  <si>
    <t>Licences / registries - +10 in 2023</t>
  </si>
  <si>
    <t xml:space="preserve">L2l </t>
  </si>
  <si>
    <t>Can compete against local acquirers</t>
  </si>
  <si>
    <t>Investments</t>
  </si>
  <si>
    <t>support historic growth…investing in future growth?</t>
  </si>
  <si>
    <t>any geos, or specific areas</t>
  </si>
  <si>
    <t>FY 24 results call</t>
  </si>
  <si>
    <t>merchants opted for local settlement</t>
  </si>
  <si>
    <t>assumes Arg structurally has tigher controls of FX</t>
  </si>
  <si>
    <t>lower gross profit in Argentina</t>
  </si>
  <si>
    <t>tigher spreads on expatriation given FX</t>
  </si>
  <si>
    <t>egypt &lt;10% of business growing to back half….assume Egypt a headwind short term</t>
  </si>
  <si>
    <t>Absolute gross profit similar in Q4 to Q3</t>
  </si>
  <si>
    <t>will take time to normalise</t>
  </si>
  <si>
    <t>Broader l2l…why doesn’t this impact long-term margin assumptions</t>
  </si>
  <si>
    <t>2024 should be the highest spend year, perhaps h1</t>
  </si>
  <si>
    <t>engineeing talent</t>
  </si>
  <si>
    <t>building capabilities to automate, be more efficient</t>
  </si>
  <si>
    <t>Share of top 10 merchants 68%...?</t>
  </si>
  <si>
    <t>Argentina / Egypt</t>
  </si>
  <si>
    <t>Margin headwinds…built in to 2024. Previously had high margins on wide FX spreads in Q2/Q3</t>
  </si>
  <si>
    <t>Revenue oscillations but neutral at gross profit</t>
  </si>
  <si>
    <t xml:space="preserve">Invoice </t>
  </si>
  <si>
    <t>New merchant growth</t>
  </si>
  <si>
    <t>Asian mainly into LatAm, also some other geos. See in E-Comm verticals</t>
  </si>
  <si>
    <t>Global merchant in Chile</t>
  </si>
  <si>
    <t>Smaller Tier 2 merchants a little quicker</t>
  </si>
  <si>
    <t>Some have an overlay in Nigeria…which drove this lift</t>
  </si>
  <si>
    <t>New investments</t>
  </si>
  <si>
    <t>Some catch up</t>
  </si>
  <si>
    <t xml:space="preserve">Greatest area is engineering - 50-75% </t>
  </si>
  <si>
    <t>Next is operations..</t>
  </si>
  <si>
    <t>TPV cadence…?</t>
  </si>
  <si>
    <t>2 merchants grown share</t>
  </si>
  <si>
    <t>merchants keeping funds in argentina</t>
  </si>
  <si>
    <t>not leaving with processor (DLO)</t>
  </si>
  <si>
    <t>alternative is international processing…expensive</t>
  </si>
  <si>
    <t>cross border option many times is better for merchant</t>
  </si>
  <si>
    <t>All existing merchants able to do l2l?</t>
  </si>
  <si>
    <t>Follow up call</t>
  </si>
  <si>
    <t>Lower vols in cross-border. One merchant lowered vols in Argentina x-border</t>
  </si>
  <si>
    <t>one switched from cross-border to l2l</t>
  </si>
  <si>
    <t>should be short-term</t>
  </si>
  <si>
    <t>TPV went up q/q in Argentina</t>
  </si>
  <si>
    <t>e-commerce vertical with seasonality</t>
  </si>
  <si>
    <t>mostly local to local</t>
  </si>
  <si>
    <t>Optimistic on guidance</t>
  </si>
  <si>
    <t>More stable macro - more tightening on spreads</t>
  </si>
  <si>
    <t>Today, market/official rate closer</t>
  </si>
  <si>
    <t>Has in the past been higher margin but lower margin</t>
  </si>
  <si>
    <t>$ revs</t>
  </si>
  <si>
    <t>lower take rate</t>
  </si>
  <si>
    <t>Gross profit in Argentina</t>
  </si>
  <si>
    <t>impact in Q1</t>
  </si>
  <si>
    <t>merchants started to reprice in the middle of Q1</t>
  </si>
  <si>
    <t>still more profitable than l2l</t>
  </si>
  <si>
    <t>still doing some in Q1, expect to be bigger</t>
  </si>
  <si>
    <t>Expatriating</t>
  </si>
  <si>
    <t>Q4 was mostly market rate</t>
  </si>
  <si>
    <t>Q1 is now closer to official, certain verticals</t>
  </si>
  <si>
    <t>Merchant concentration</t>
  </si>
  <si>
    <t>Higher for sure in 2023</t>
  </si>
  <si>
    <t>Expect to ramp/scale the top 10</t>
  </si>
  <si>
    <t xml:space="preserve">Concentration </t>
  </si>
  <si>
    <t>Apple and Temu</t>
  </si>
  <si>
    <t>x-border l2l</t>
  </si>
  <si>
    <t>apple more x-border</t>
  </si>
  <si>
    <t>Shein</t>
  </si>
  <si>
    <t>(Implied) Gross profit take-rate</t>
  </si>
  <si>
    <t>Gross profit take rate</t>
  </si>
  <si>
    <t>Non transaction opex</t>
  </si>
  <si>
    <t>Other non-LatAm</t>
  </si>
  <si>
    <t xml:space="preserve">% </t>
  </si>
  <si>
    <t>TPV (USD billion)</t>
  </si>
  <si>
    <t>% diff</t>
  </si>
  <si>
    <t>Gross revenue split</t>
  </si>
  <si>
    <t>Group ex Argentina</t>
  </si>
  <si>
    <t>Argentina GP as % Group</t>
  </si>
  <si>
    <t>Q1 24</t>
  </si>
  <si>
    <t>Buy</t>
  </si>
  <si>
    <t>Talk through what happened</t>
  </si>
  <si>
    <t>Mexico GP up, assume Brazil down</t>
  </si>
  <si>
    <t>Single merchant GP higher, or re-base lower before volume commits?</t>
  </si>
  <si>
    <t>Concentration</t>
  </si>
  <si>
    <t>Reducing concentration, how?</t>
  </si>
  <si>
    <t>GP increased in USD terms?</t>
  </si>
  <si>
    <t>How is underlying demand there?</t>
  </si>
  <si>
    <t>March would normally be the better Q</t>
  </si>
  <si>
    <t>Timing of Easter a factor?</t>
  </si>
  <si>
    <t>Cadence of Gross Profit</t>
  </si>
  <si>
    <t>talk through components of drop</t>
  </si>
  <si>
    <t>how much is pay outs / pay ins, seasonality</t>
  </si>
  <si>
    <t>Is that a factor</t>
  </si>
  <si>
    <t>Adyen has been refocusing on Brazil, seeing anything here?</t>
  </si>
  <si>
    <t>Delays to launches</t>
  </si>
  <si>
    <t>Have they now happened, coming through in Q2?</t>
  </si>
  <si>
    <t>Was it a relatively big GP contributor in Q1?</t>
  </si>
  <si>
    <t xml:space="preserve">10% sequential drop </t>
  </si>
  <si>
    <t>Assume this single merchant still adds $ GP?</t>
  </si>
  <si>
    <t>Remittances</t>
  </si>
  <si>
    <t>Growing corridors</t>
  </si>
  <si>
    <t>TPV up 71%, wide spreads</t>
  </si>
  <si>
    <t>GP in Q2 in Egypt…?</t>
  </si>
  <si>
    <t>**</t>
  </si>
  <si>
    <t>Potential to hit another hurdle rate soon and reset ?</t>
  </si>
  <si>
    <t>Sequentially</t>
  </si>
  <si>
    <t>mostly down - revs fall</t>
  </si>
  <si>
    <t>GP fall</t>
  </si>
  <si>
    <t>Brazil, Mexico slightly</t>
  </si>
  <si>
    <t>GP margin</t>
  </si>
  <si>
    <t>Hitting guidance</t>
  </si>
  <si>
    <t>1/ Top line growth. Convert existing pipeline</t>
  </si>
  <si>
    <t>2/ Review of costs, a lever potentially</t>
  </si>
  <si>
    <t>3/ Balance of short-term with long-term ambition</t>
  </si>
  <si>
    <t>adjust cost to balance this</t>
  </si>
  <si>
    <t>Seasonality, a weaker Q for E-Comm</t>
  </si>
  <si>
    <t>March GP a good base</t>
  </si>
  <si>
    <t>Diversification</t>
  </si>
  <si>
    <t>Should fall, a litte bit - saw this sequentially a little in Q1</t>
  </si>
  <si>
    <t>Different puts and takes</t>
  </si>
  <si>
    <t>growing TPV through Q1</t>
  </si>
  <si>
    <t>momentum sustained into Q2</t>
  </si>
  <si>
    <t>march still had some positive GP from Egypt…decreases into Q2</t>
  </si>
  <si>
    <t>Merchant</t>
  </si>
  <si>
    <t>Large global contract…prices are higher than could have found through other alternatives</t>
  </si>
  <si>
    <t>Have kept most the TPV at other price points</t>
  </si>
  <si>
    <t>Very enormous volume</t>
  </si>
  <si>
    <t>No other similar ones</t>
  </si>
  <si>
    <t>This merchant could happen in other markets</t>
  </si>
  <si>
    <t>Relationship</t>
  </si>
  <si>
    <t>Global outlook… been able to expand into new markets</t>
  </si>
  <si>
    <t>Delays</t>
  </si>
  <si>
    <t>Some live in Q2. High potential clients, hope for Q2</t>
  </si>
  <si>
    <t>E-Commerce to continue to gain TPV share</t>
  </si>
  <si>
    <t>Cross-border up</t>
  </si>
  <si>
    <t>lower take rate, but higher margin</t>
  </si>
  <si>
    <t xml:space="preserve">Pay in </t>
  </si>
  <si>
    <t>larger take rate</t>
  </si>
  <si>
    <t>where netting permitted, impacts Pay-in profitabiity</t>
  </si>
  <si>
    <t>Remittances, within pay outs</t>
  </si>
  <si>
    <t>Single merchant</t>
  </si>
  <si>
    <t>Scale was so big… that's the factor</t>
  </si>
  <si>
    <t>Single price</t>
  </si>
  <si>
    <t>What is the differentiator for value add</t>
  </si>
  <si>
    <t>130 bps of GP compression, only 4pp of take-rate</t>
  </si>
  <si>
    <t>Explains Brazil</t>
  </si>
  <si>
    <t>Remittances, infrastrcucture for wholesale</t>
  </si>
  <si>
    <t>Growing very fast</t>
  </si>
  <si>
    <t>TPV - 4% of repatriations are 4% through netting</t>
  </si>
  <si>
    <t>Where reg allows, competitive rates on FX… don’t go through banking relationships</t>
  </si>
  <si>
    <t>% change (q/q)</t>
  </si>
  <si>
    <t>Q4 to Q1</t>
  </si>
  <si>
    <t>Gross profit / TPV</t>
  </si>
  <si>
    <t>Added back</t>
  </si>
  <si>
    <t>TPV impact</t>
  </si>
  <si>
    <t>Single merchant  dilution</t>
  </si>
  <si>
    <t>GP/TPV</t>
  </si>
  <si>
    <t xml:space="preserve"> single mer</t>
  </si>
  <si>
    <t>single</t>
  </si>
  <si>
    <t>other</t>
  </si>
  <si>
    <t>no chang</t>
  </si>
  <si>
    <t>Rep</t>
  </si>
  <si>
    <t xml:space="preserve">Gross profit </t>
  </si>
  <si>
    <t>GP / TPV</t>
  </si>
  <si>
    <t>March</t>
  </si>
  <si>
    <t>Per month Q2-Q4</t>
  </si>
  <si>
    <t>Jan and Feb average</t>
  </si>
  <si>
    <t>Q1 25E</t>
  </si>
  <si>
    <t>Q2 25E</t>
  </si>
  <si>
    <t>Q3 25E</t>
  </si>
  <si>
    <t>Q4 25E</t>
  </si>
  <si>
    <t>FY 2025E</t>
  </si>
  <si>
    <t>Country split (revenue)</t>
  </si>
  <si>
    <t>Gross profit by country</t>
  </si>
  <si>
    <t>Brazil, $ revenue</t>
  </si>
  <si>
    <t>Argentina, USD revenue</t>
  </si>
  <si>
    <t>Mexico revenue</t>
  </si>
  <si>
    <t>Other LatAm revenue</t>
  </si>
  <si>
    <t>LatAm revenue</t>
  </si>
  <si>
    <t>LatAm gross profit</t>
  </si>
  <si>
    <t>Other Africa Asia revenue</t>
  </si>
  <si>
    <t>Egypt revenue</t>
  </si>
  <si>
    <t>Nigeria revenue</t>
  </si>
  <si>
    <t>Africa / Asia revenue</t>
  </si>
  <si>
    <t>Africa  / Asia gross profit</t>
  </si>
  <si>
    <t>Africa  / Asia gross profit margin</t>
  </si>
  <si>
    <t>Country split (gross profit)</t>
  </si>
  <si>
    <t>Other Asia / Africa</t>
  </si>
  <si>
    <t>Chile revenue</t>
  </si>
  <si>
    <t>Tech &amp; Dev</t>
  </si>
  <si>
    <t xml:space="preserve">Other </t>
  </si>
  <si>
    <t>Opex (Incs D&amp;A)</t>
  </si>
  <si>
    <t>Adjs at EBIT</t>
  </si>
  <si>
    <t>Clean Opex (Op profit less adjs)</t>
  </si>
  <si>
    <t>check:</t>
  </si>
  <si>
    <t>step down in revs and GP. How long before surpasses previous</t>
  </si>
  <si>
    <t>any sort of volume commitments</t>
  </si>
  <si>
    <t>who was it?</t>
  </si>
  <si>
    <t>help with the maths on the price decline</t>
  </si>
  <si>
    <t>close to zero gross profit?</t>
  </si>
  <si>
    <t>revenue and margin driven?</t>
  </si>
  <si>
    <t xml:space="preserve">Questions following Q1 24 </t>
  </si>
  <si>
    <t>Better momentum in March, April?</t>
  </si>
  <si>
    <t>% margin (to GP)</t>
  </si>
  <si>
    <t xml:space="preserve">Jan </t>
  </si>
  <si>
    <t xml:space="preserve">Feb </t>
  </si>
  <si>
    <t>Mar</t>
  </si>
  <si>
    <t>Apr</t>
  </si>
  <si>
    <t>May</t>
  </si>
  <si>
    <t>Jun</t>
  </si>
  <si>
    <t>Jul</t>
  </si>
  <si>
    <t>Aug</t>
  </si>
  <si>
    <t>Sep</t>
  </si>
  <si>
    <t>Oct</t>
  </si>
  <si>
    <t>Nov</t>
  </si>
  <si>
    <t>Gross Profit per month</t>
  </si>
  <si>
    <t>Gross Profit per Q</t>
  </si>
  <si>
    <t>What about Egypt?</t>
  </si>
  <si>
    <t>why are margins so low?</t>
  </si>
  <si>
    <t>Adyen?</t>
  </si>
  <si>
    <t>Revenue,USD m</t>
  </si>
  <si>
    <t>Gross Profit margin</t>
  </si>
  <si>
    <t>April</t>
  </si>
  <si>
    <t>Egypt deval</t>
  </si>
  <si>
    <t>Re-pricing</t>
  </si>
  <si>
    <t>Feb in larger markets of Brazil. &lt;2 months</t>
  </si>
  <si>
    <t>A few more markets in Q2</t>
  </si>
  <si>
    <t>$2m of GP</t>
  </si>
  <si>
    <t>Q2 added month, more markets</t>
  </si>
  <si>
    <t>early march, but pricing set prior to deval</t>
  </si>
  <si>
    <t>FX locked in</t>
  </si>
  <si>
    <t>very dynamic</t>
  </si>
  <si>
    <t>Q1s</t>
  </si>
  <si>
    <t>Delays in new merchants</t>
  </si>
  <si>
    <t>and in lower end of guidance</t>
  </si>
  <si>
    <t>How build guidance</t>
  </si>
  <si>
    <t>pipeline + base</t>
  </si>
  <si>
    <t>prob adj pipeline</t>
  </si>
  <si>
    <t>Q2 more certainty</t>
  </si>
  <si>
    <t>Q3 and Q4 are not signed contracts, convos for now</t>
  </si>
  <si>
    <t>come out within range</t>
  </si>
  <si>
    <t>assumes delayed projects join</t>
  </si>
  <si>
    <t>heathy Q2 pipeline</t>
  </si>
  <si>
    <t>take guidance seriously</t>
  </si>
  <si>
    <t>E-Comm provider</t>
  </si>
  <si>
    <t>largest global relationship</t>
  </si>
  <si>
    <t>a lot bigger than the no2. very high share of wallet, higher than for most</t>
  </si>
  <si>
    <t>in Brazil, north of 50 bps of net take - after cost</t>
  </si>
  <si>
    <t>if went to Adyen, would do cost ++ 10 bps</t>
  </si>
  <si>
    <t>giving vols to DLO</t>
  </si>
  <si>
    <t>Adyen offers this</t>
  </si>
  <si>
    <t>130-140 bps - no way able to keep</t>
  </si>
  <si>
    <t>stuck with Adyen…</t>
  </si>
  <si>
    <t>DLO offers orchestration</t>
  </si>
  <si>
    <t>not racing to bottom to match acquirer costs</t>
  </si>
  <si>
    <t>No single price globally</t>
  </si>
  <si>
    <t>Will have different prices</t>
  </si>
  <si>
    <t>Brazil l 2 l increasingly…x - border</t>
  </si>
  <si>
    <t>Chinese merchants</t>
  </si>
  <si>
    <t>less predictable</t>
  </si>
  <si>
    <t>Volumes</t>
  </si>
  <si>
    <t>sometimes you can get</t>
  </si>
  <si>
    <t>brings new oppos, a verbal commitment</t>
  </si>
  <si>
    <t>Overall TPV momentum is very positive</t>
  </si>
  <si>
    <t>less x-border, a lot of local settlement for larger merchants</t>
  </si>
  <si>
    <t>more x-border in Q4</t>
  </si>
  <si>
    <t>S Africa</t>
  </si>
  <si>
    <t>SA first, v large on E-Comm</t>
  </si>
  <si>
    <t>Lower on revs, more interesting on gross profit</t>
  </si>
  <si>
    <t>Costs</t>
  </si>
  <si>
    <t>Review in light of top line all the time</t>
  </si>
  <si>
    <t>Q4 -  opex benefitted from IFSR adj of $3m</t>
  </si>
  <si>
    <t>more even between Q4 and Q1</t>
  </si>
  <si>
    <t>infl adj smaller in Q1</t>
  </si>
  <si>
    <t>Balance, GP $ level</t>
  </si>
  <si>
    <t>take EBITDA guide seriously</t>
  </si>
  <si>
    <t>l2l at a faster pace</t>
  </si>
  <si>
    <t>higher tax rate therefoe</t>
  </si>
  <si>
    <t>within x-border</t>
  </si>
  <si>
    <t>shift to higher tax regimes</t>
  </si>
  <si>
    <t>depends on where customers are</t>
  </si>
  <si>
    <t>today, any day now</t>
  </si>
  <si>
    <t>y/y</t>
  </si>
  <si>
    <t>q/q</t>
  </si>
  <si>
    <t>Gross Profit per Y</t>
  </si>
  <si>
    <t>Total SHOUT (ex Treasury)</t>
  </si>
  <si>
    <t>Treasury</t>
  </si>
  <si>
    <t>Outstanding inc Treasury</t>
  </si>
  <si>
    <t>Price</t>
  </si>
  <si>
    <t>2026e</t>
  </si>
  <si>
    <t>24-26e CAGR</t>
  </si>
  <si>
    <t>NSRe</t>
  </si>
  <si>
    <t>Temu</t>
  </si>
  <si>
    <t>DLO underlying</t>
  </si>
  <si>
    <t>24-27e</t>
  </si>
  <si>
    <t>Q2 24</t>
  </si>
  <si>
    <t>Q2 24e</t>
  </si>
  <si>
    <t>NSR vs</t>
  </si>
  <si>
    <t>mid-point</t>
  </si>
  <si>
    <t>Cons 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</si>
</sst>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0.0"/>
    <numFmt numFmtId="167" formatCode="#,##0_);\(#,##0\);#,##0_);@_)"/>
    <numFmt numFmtId="168" formatCode="_(* #,##0.00_);_(* \(#,##0.00\);_(* &quot;-&quot;??_);_(@_)"/>
    <numFmt numFmtId="169" formatCode="_(* #,##0_);_(* \(#,##0\);_(* &quot;-&quot;??_);_(@_)"/>
    <numFmt numFmtId="170" formatCode="&quot;$&quot;#,##0_);[Red]\(&quot;$&quot;#,##0\)"/>
    <numFmt numFmtId="171" formatCode="0.0\x"/>
    <numFmt numFmtId="172" formatCode="0.000"/>
  </numFmts>
  <fonts count="49"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theme="4"/>
      <name val="Calibri"/>
      <family val="2"/>
      <scheme val="minor"/>
    </font>
    <font>
      <b/>
      <u/>
      <sz val="11"/>
      <color theme="1"/>
      <name val="Calibri"/>
      <family val="2"/>
      <scheme val="minor"/>
    </font>
    <font>
      <sz val="11"/>
      <name val="Calibri"/>
      <family val="2"/>
      <scheme val="minor"/>
    </font>
    <font>
      <sz val="9"/>
      <color indexed="81"/>
      <name val="Tahoma"/>
      <family val="2"/>
    </font>
    <font>
      <b/>
      <sz val="9"/>
      <color indexed="81"/>
      <name val="Tahoma"/>
      <family val="2"/>
    </font>
    <font>
      <b/>
      <sz val="11"/>
      <color theme="4"/>
      <name val="Calibri"/>
      <family val="2"/>
      <scheme val="minor"/>
    </font>
    <font>
      <i/>
      <u/>
      <sz val="11"/>
      <color theme="1"/>
      <name val="Calibri"/>
      <family val="2"/>
      <scheme val="minor"/>
    </font>
    <font>
      <b/>
      <sz val="10"/>
      <color theme="1"/>
      <name val="Trebuchet MS"/>
      <family val="2"/>
    </font>
    <font>
      <sz val="10"/>
      <color theme="1"/>
      <name val="Trebuchet MS"/>
      <family val="2"/>
    </font>
    <font>
      <b/>
      <sz val="11"/>
      <color theme="1"/>
      <name val="Trebuchet MS"/>
      <family val="2"/>
    </font>
    <font>
      <sz val="11"/>
      <color theme="1"/>
      <name val="Trebuchet MS"/>
      <family val="2"/>
    </font>
    <font>
      <sz val="10"/>
      <color rgb="FF000000"/>
      <name val="Trebuchet MS"/>
      <family val="2"/>
    </font>
    <font>
      <b/>
      <sz val="10"/>
      <color rgb="FF000000"/>
      <name val="Trebuchet MS"/>
      <family val="2"/>
    </font>
    <font>
      <sz val="11"/>
      <color theme="0"/>
      <name val="Trebuchet MS"/>
      <family val="2"/>
    </font>
    <font>
      <sz val="9"/>
      <color theme="1"/>
      <name val="Calibri"/>
      <family val="2"/>
    </font>
    <font>
      <sz val="10"/>
      <color indexed="8"/>
      <name val="Calibri"/>
      <family val="2"/>
    </font>
    <font>
      <sz val="8"/>
      <name val="Calibri"/>
      <family val="2"/>
    </font>
    <font>
      <sz val="18"/>
      <name val="Calibri"/>
      <family val="2"/>
    </font>
    <font>
      <sz val="9"/>
      <name val="Calibri"/>
      <family val="2"/>
    </font>
    <font>
      <sz val="10"/>
      <name val="Calibri"/>
      <family val="2"/>
    </font>
    <font>
      <b/>
      <sz val="10"/>
      <name val="Calibri"/>
      <family val="2"/>
    </font>
    <font>
      <i/>
      <sz val="10"/>
      <name val="Calibri"/>
      <family val="2"/>
    </font>
    <font>
      <b/>
      <i/>
      <sz val="9"/>
      <name val="Calibri"/>
      <family val="2"/>
    </font>
    <font>
      <sz val="9"/>
      <color theme="1"/>
      <name val="Calibri"/>
      <family val="2"/>
      <scheme val="minor"/>
    </font>
    <font>
      <sz val="11"/>
      <color theme="1"/>
      <name val="Calibri"/>
      <family val="2"/>
      <scheme val="minor"/>
    </font>
    <font>
      <sz val="10"/>
      <name val="Trebuchet MS"/>
      <family val="2"/>
    </font>
    <font>
      <sz val="10"/>
      <name val="Arial"/>
      <family val="2"/>
    </font>
    <font>
      <sz val="8"/>
      <name val="Calibri"/>
      <family val="2"/>
      <scheme val="minor"/>
    </font>
    <font>
      <sz val="11"/>
      <color theme="1"/>
      <name val="Roboto"/>
    </font>
    <font>
      <b/>
      <sz val="11"/>
      <color theme="1"/>
      <name val="Roboto"/>
    </font>
    <font>
      <sz val="11"/>
      <color theme="4"/>
      <name val="Roboto"/>
    </font>
    <font>
      <b/>
      <u/>
      <sz val="11"/>
      <color theme="1"/>
      <name val="Roboto"/>
    </font>
    <font>
      <b/>
      <sz val="10"/>
      <color theme="1"/>
      <name val="Roboto"/>
    </font>
    <font>
      <sz val="10"/>
      <color theme="1"/>
      <name val="Roboto"/>
    </font>
    <font>
      <b/>
      <u/>
      <sz val="10"/>
      <color theme="1"/>
      <name val="Roboto"/>
    </font>
    <font>
      <u/>
      <sz val="10"/>
      <color theme="1"/>
      <name val="Roboto"/>
    </font>
    <font>
      <b/>
      <sz val="10"/>
      <color theme="1"/>
      <name val="Arial"/>
      <family val="2"/>
    </font>
    <font>
      <sz val="10"/>
      <color rgb="FFFFFFFF"/>
      <name val="Arial"/>
      <family val="2"/>
    </font>
    <font>
      <sz val="10"/>
      <color theme="1"/>
      <name val="Arial"/>
      <family val="2"/>
    </font>
    <font>
      <sz val="11"/>
      <name val="Roboto"/>
    </font>
    <font>
      <sz val="11"/>
      <color rgb="FFFF0000"/>
      <name val="Calibri"/>
      <family val="2"/>
      <scheme val="minor"/>
    </font>
    <font>
      <b/>
      <u/>
      <sz val="10"/>
      <color theme="1"/>
      <name val="Arial"/>
      <family val="2"/>
    </font>
    <font>
      <b/>
      <i/>
      <sz val="11"/>
      <color theme="1"/>
      <name val="Calibri"/>
      <family val="2"/>
      <scheme val="minor"/>
    </font>
    <font>
      <i/>
      <sz val="11"/>
      <color theme="1"/>
      <name val="Roboto"/>
    </font>
    <font>
      <sz val="11"/>
      <color rgb="FF00B0F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9" tint="0.79998168889431442"/>
        <bgColor indexed="64"/>
      </patternFill>
    </fill>
  </fills>
  <borders count="29">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s>
  <cellStyleXfs count="5">
    <xf numFmtId="0" fontId="0" fillId="0" borderId="0"/>
    <xf numFmtId="0" fontId="18" fillId="0" borderId="0"/>
    <xf numFmtId="168" fontId="1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cellStyleXfs>
  <cellXfs count="474">
    <xf numFmtId="0" fontId="0" fillId="0" borderId="0" xfId="0"/>
    <xf numFmtId="0" fontId="1" fillId="0" borderId="1" xfId="0" applyFont="1" applyBorder="1"/>
    <xf numFmtId="9" fontId="0" fillId="0" borderId="0" xfId="0" applyNumberFormat="1"/>
    <xf numFmtId="164" fontId="0" fillId="0" borderId="0" xfId="0" applyNumberFormat="1"/>
    <xf numFmtId="165" fontId="0" fillId="0" borderId="0" xfId="0" applyNumberFormat="1"/>
    <xf numFmtId="0" fontId="1" fillId="0" borderId="1" xfId="0" applyFont="1" applyBorder="1" applyAlignment="1">
      <alignment horizontal="right"/>
    </xf>
    <xf numFmtId="0" fontId="0" fillId="0" borderId="0" xfId="0" quotePrefix="1"/>
    <xf numFmtId="0" fontId="2" fillId="0" borderId="0" xfId="0" applyFont="1"/>
    <xf numFmtId="0" fontId="3" fillId="0" borderId="0" xfId="0" quotePrefix="1" applyFont="1"/>
    <xf numFmtId="1" fontId="0" fillId="0" borderId="0" xfId="0" applyNumberFormat="1"/>
    <xf numFmtId="0" fontId="1" fillId="0" borderId="0" xfId="0" applyFont="1"/>
    <xf numFmtId="4" fontId="1" fillId="0" borderId="0" xfId="0" applyNumberFormat="1" applyFont="1"/>
    <xf numFmtId="166" fontId="0" fillId="0" borderId="0" xfId="0" applyNumberFormat="1"/>
    <xf numFmtId="3" fontId="0" fillId="0" borderId="0" xfId="0" applyNumberFormat="1"/>
    <xf numFmtId="0" fontId="0" fillId="0" borderId="1" xfId="0" applyBorder="1"/>
    <xf numFmtId="9" fontId="0" fillId="2" borderId="0" xfId="0" applyNumberFormat="1" applyFill="1"/>
    <xf numFmtId="3" fontId="0" fillId="2" borderId="0" xfId="0" applyNumberFormat="1" applyFill="1"/>
    <xf numFmtId="0" fontId="0" fillId="2" borderId="0" xfId="0" applyFill="1"/>
    <xf numFmtId="1" fontId="0" fillId="0" borderId="1" xfId="0" applyNumberFormat="1" applyBorder="1"/>
    <xf numFmtId="9" fontId="4" fillId="0" borderId="0" xfId="0" applyNumberFormat="1" applyFont="1"/>
    <xf numFmtId="3" fontId="0" fillId="0" borderId="0" xfId="0" applyNumberFormat="1" applyAlignment="1">
      <alignment horizontal="right"/>
    </xf>
    <xf numFmtId="0" fontId="5" fillId="0" borderId="0" xfId="0" quotePrefix="1" applyFont="1"/>
    <xf numFmtId="0" fontId="5" fillId="0" borderId="0" xfId="0" applyFont="1"/>
    <xf numFmtId="165" fontId="0" fillId="0" borderId="1" xfId="0" applyNumberFormat="1" applyBorder="1"/>
    <xf numFmtId="165" fontId="0" fillId="2" borderId="0" xfId="0" applyNumberFormat="1" applyFill="1"/>
    <xf numFmtId="165" fontId="0" fillId="2" borderId="1" xfId="0" applyNumberFormat="1" applyFill="1" applyBorder="1"/>
    <xf numFmtId="1" fontId="0" fillId="2" borderId="0" xfId="0" applyNumberFormat="1" applyFill="1"/>
    <xf numFmtId="0" fontId="3" fillId="0" borderId="1" xfId="0" applyFont="1" applyBorder="1"/>
    <xf numFmtId="165" fontId="3" fillId="0" borderId="1" xfId="0" applyNumberFormat="1" applyFont="1" applyBorder="1"/>
    <xf numFmtId="165" fontId="4" fillId="0" borderId="0" xfId="0" applyNumberFormat="1" applyFont="1"/>
    <xf numFmtId="0" fontId="0" fillId="0" borderId="2" xfId="0" applyBorder="1"/>
    <xf numFmtId="165" fontId="0" fillId="0" borderId="2" xfId="0" applyNumberFormat="1" applyBorder="1"/>
    <xf numFmtId="165" fontId="4" fillId="0" borderId="1" xfId="0" applyNumberFormat="1" applyFont="1" applyBorder="1"/>
    <xf numFmtId="9" fontId="6" fillId="0" borderId="0" xfId="0" applyNumberFormat="1" applyFont="1"/>
    <xf numFmtId="165" fontId="6" fillId="0" borderId="0" xfId="0" applyNumberFormat="1" applyFont="1"/>
    <xf numFmtId="3" fontId="0" fillId="0" borderId="1" xfId="0" applyNumberFormat="1" applyBorder="1"/>
    <xf numFmtId="0" fontId="0" fillId="0" borderId="1" xfId="0" quotePrefix="1" applyBorder="1"/>
    <xf numFmtId="0" fontId="0" fillId="0" borderId="0" xfId="0" applyAlignment="1">
      <alignment horizontal="right"/>
    </xf>
    <xf numFmtId="0" fontId="4" fillId="0" borderId="0" xfId="0" applyFont="1"/>
    <xf numFmtId="0" fontId="0" fillId="0" borderId="0" xfId="0" applyAlignment="1">
      <alignment horizontal="left"/>
    </xf>
    <xf numFmtId="0" fontId="0" fillId="0" borderId="1" xfId="0" applyBorder="1" applyAlignment="1">
      <alignment horizontal="left"/>
    </xf>
    <xf numFmtId="164" fontId="0" fillId="0" borderId="1" xfId="0" applyNumberFormat="1" applyBorder="1"/>
    <xf numFmtId="0" fontId="0" fillId="2" borderId="1" xfId="0" applyFill="1" applyBorder="1"/>
    <xf numFmtId="0" fontId="0" fillId="0" borderId="1" xfId="0" applyBorder="1" applyAlignment="1">
      <alignment horizontal="right"/>
    </xf>
    <xf numFmtId="9" fontId="0" fillId="0" borderId="1" xfId="0" applyNumberFormat="1" applyBorder="1"/>
    <xf numFmtId="0" fontId="0" fillId="2" borderId="2" xfId="0" applyFill="1" applyBorder="1"/>
    <xf numFmtId="1" fontId="0" fillId="0" borderId="2" xfId="0" applyNumberFormat="1" applyBorder="1"/>
    <xf numFmtId="164" fontId="1" fillId="0" borderId="0" xfId="0" applyNumberFormat="1" applyFont="1"/>
    <xf numFmtId="166" fontId="1" fillId="2" borderId="0" xfId="0" applyNumberFormat="1" applyFont="1" applyFill="1"/>
    <xf numFmtId="165" fontId="1" fillId="0" borderId="0" xfId="0" applyNumberFormat="1" applyFont="1"/>
    <xf numFmtId="164" fontId="1" fillId="2" borderId="0" xfId="0" applyNumberFormat="1" applyFont="1" applyFill="1"/>
    <xf numFmtId="0" fontId="1" fillId="0" borderId="3" xfId="0" applyFont="1" applyBorder="1"/>
    <xf numFmtId="164" fontId="1" fillId="0" borderId="3" xfId="0" applyNumberFormat="1" applyFont="1" applyBorder="1"/>
    <xf numFmtId="164" fontId="9" fillId="0" borderId="3" xfId="0" applyNumberFormat="1" applyFont="1" applyBorder="1"/>
    <xf numFmtId="0" fontId="1" fillId="0" borderId="0" xfId="0" applyFont="1" applyAlignment="1">
      <alignment horizontal="right"/>
    </xf>
    <xf numFmtId="0" fontId="10" fillId="0" borderId="0" xfId="0" applyFont="1"/>
    <xf numFmtId="0" fontId="3" fillId="0" borderId="0" xfId="0" applyFont="1"/>
    <xf numFmtId="164" fontId="3" fillId="0" borderId="0" xfId="0" applyNumberFormat="1" applyFont="1"/>
    <xf numFmtId="0" fontId="0" fillId="3" borderId="0" xfId="0" applyFill="1"/>
    <xf numFmtId="3" fontId="0" fillId="3" borderId="0" xfId="0" applyNumberFormat="1" applyFill="1"/>
    <xf numFmtId="0" fontId="0" fillId="3" borderId="1" xfId="0" applyFill="1" applyBorder="1"/>
    <xf numFmtId="9" fontId="0" fillId="3" borderId="1" xfId="0" applyNumberFormat="1" applyFill="1" applyBorder="1"/>
    <xf numFmtId="1" fontId="0" fillId="0" borderId="0" xfId="0" applyNumberFormat="1" applyAlignment="1">
      <alignment horizontal="right"/>
    </xf>
    <xf numFmtId="9" fontId="0" fillId="0" borderId="0" xfId="0" applyNumberFormat="1" applyAlignment="1">
      <alignment horizontal="right"/>
    </xf>
    <xf numFmtId="0" fontId="11" fillId="0" borderId="1" xfId="0" applyFont="1" applyBorder="1"/>
    <xf numFmtId="0" fontId="11" fillId="0" borderId="1" xfId="0" applyFont="1" applyBorder="1" applyAlignment="1">
      <alignment horizontal="right"/>
    </xf>
    <xf numFmtId="0" fontId="12" fillId="3" borderId="0" xfId="0" applyFont="1" applyFill="1"/>
    <xf numFmtId="3" fontId="12" fillId="3" borderId="0" xfId="0" applyNumberFormat="1" applyFont="1" applyFill="1"/>
    <xf numFmtId="0" fontId="12" fillId="0" borderId="0" xfId="0" applyFont="1"/>
    <xf numFmtId="3" fontId="12" fillId="0" borderId="0" xfId="0" applyNumberFormat="1" applyFont="1"/>
    <xf numFmtId="164" fontId="12" fillId="3" borderId="0" xfId="0" applyNumberFormat="1" applyFont="1" applyFill="1"/>
    <xf numFmtId="0" fontId="12" fillId="0" borderId="1" xfId="0" applyFont="1" applyBorder="1"/>
    <xf numFmtId="3" fontId="12" fillId="0" borderId="1" xfId="0" applyNumberFormat="1" applyFont="1" applyBorder="1"/>
    <xf numFmtId="164" fontId="12" fillId="0" borderId="0" xfId="0" applyNumberFormat="1" applyFont="1"/>
    <xf numFmtId="0" fontId="12" fillId="3" borderId="1" xfId="0" applyFont="1" applyFill="1" applyBorder="1"/>
    <xf numFmtId="1" fontId="12" fillId="3" borderId="0" xfId="0" applyNumberFormat="1" applyFont="1" applyFill="1"/>
    <xf numFmtId="9" fontId="12" fillId="3" borderId="0" xfId="0" applyNumberFormat="1" applyFont="1" applyFill="1"/>
    <xf numFmtId="1" fontId="12" fillId="0" borderId="0" xfId="0" applyNumberFormat="1" applyFont="1"/>
    <xf numFmtId="0" fontId="11" fillId="3" borderId="1" xfId="0" applyFont="1" applyFill="1" applyBorder="1"/>
    <xf numFmtId="9" fontId="12" fillId="0" borderId="0" xfId="0" applyNumberFormat="1" applyFont="1"/>
    <xf numFmtId="16" fontId="0" fillId="0" borderId="0" xfId="0" quotePrefix="1" applyNumberFormat="1"/>
    <xf numFmtId="164" fontId="0" fillId="2" borderId="0" xfId="0" applyNumberFormat="1" applyFill="1"/>
    <xf numFmtId="0" fontId="14" fillId="0" borderId="0" xfId="0" applyFont="1"/>
    <xf numFmtId="0" fontId="15" fillId="0" borderId="0" xfId="0" applyFont="1"/>
    <xf numFmtId="165" fontId="12" fillId="0" borderId="0" xfId="0" applyNumberFormat="1" applyFont="1"/>
    <xf numFmtId="0" fontId="15" fillId="0" borderId="1" xfId="0" applyFont="1" applyBorder="1"/>
    <xf numFmtId="165" fontId="12" fillId="0" borderId="1" xfId="0" applyNumberFormat="1" applyFont="1" applyBorder="1"/>
    <xf numFmtId="164" fontId="12" fillId="0" borderId="1" xfId="0" applyNumberFormat="1" applyFont="1" applyBorder="1"/>
    <xf numFmtId="0" fontId="15" fillId="3" borderId="0" xfId="0" applyFont="1" applyFill="1"/>
    <xf numFmtId="165" fontId="12" fillId="3" borderId="0" xfId="0" applyNumberFormat="1" applyFont="1" applyFill="1"/>
    <xf numFmtId="0" fontId="16" fillId="3" borderId="0" xfId="0" applyFont="1" applyFill="1"/>
    <xf numFmtId="165" fontId="11" fillId="3" borderId="0" xfId="0" applyNumberFormat="1" applyFont="1" applyFill="1"/>
    <xf numFmtId="164" fontId="11" fillId="3" borderId="0" xfId="0" applyNumberFormat="1" applyFont="1" applyFill="1"/>
    <xf numFmtId="165" fontId="14" fillId="5" borderId="0" xfId="0" applyNumberFormat="1" applyFont="1" applyFill="1" applyAlignment="1">
      <alignment horizontal="center"/>
    </xf>
    <xf numFmtId="165" fontId="14" fillId="4" borderId="0" xfId="0" applyNumberFormat="1" applyFont="1" applyFill="1" applyAlignment="1">
      <alignment horizontal="center"/>
    </xf>
    <xf numFmtId="165" fontId="14" fillId="3" borderId="5" xfId="0" applyNumberFormat="1" applyFont="1" applyFill="1" applyBorder="1" applyAlignment="1">
      <alignment horizontal="center"/>
    </xf>
    <xf numFmtId="165" fontId="17" fillId="0" borderId="0" xfId="0" applyNumberFormat="1" applyFont="1" applyAlignment="1">
      <alignment horizontal="center"/>
    </xf>
    <xf numFmtId="164" fontId="13" fillId="0" borderId="1" xfId="0" applyNumberFormat="1" applyFont="1" applyBorder="1" applyAlignment="1">
      <alignment horizontal="center"/>
    </xf>
    <xf numFmtId="164" fontId="13" fillId="0" borderId="4" xfId="0" applyNumberFormat="1" applyFont="1" applyBorder="1"/>
    <xf numFmtId="0" fontId="1" fillId="0" borderId="1" xfId="0" applyFont="1" applyBorder="1" applyAlignment="1">
      <alignment horizontal="left"/>
    </xf>
    <xf numFmtId="9" fontId="12" fillId="3" borderId="1" xfId="0" applyNumberFormat="1" applyFont="1" applyFill="1" applyBorder="1"/>
    <xf numFmtId="164" fontId="0" fillId="0" borderId="0" xfId="0" applyNumberFormat="1" applyAlignment="1">
      <alignment horizontal="left"/>
    </xf>
    <xf numFmtId="10" fontId="1" fillId="0" borderId="0" xfId="0" applyNumberFormat="1" applyFont="1"/>
    <xf numFmtId="0" fontId="19" fillId="6" borderId="6" xfId="1" applyFont="1" applyFill="1" applyBorder="1"/>
    <xf numFmtId="0" fontId="20" fillId="6" borderId="6" xfId="1" applyFont="1" applyFill="1" applyBorder="1"/>
    <xf numFmtId="0" fontId="18" fillId="0" borderId="0" xfId="1"/>
    <xf numFmtId="0" fontId="20" fillId="6" borderId="0" xfId="1" applyFont="1" applyFill="1"/>
    <xf numFmtId="0" fontId="21" fillId="6" borderId="0" xfId="1" applyFont="1" applyFill="1"/>
    <xf numFmtId="14" fontId="22" fillId="6" borderId="0" xfId="1" applyNumberFormat="1" applyFont="1" applyFill="1" applyAlignment="1">
      <alignment horizontal="left"/>
    </xf>
    <xf numFmtId="0" fontId="23" fillId="6" borderId="0" xfId="1" applyFont="1" applyFill="1"/>
    <xf numFmtId="167" fontId="20" fillId="6" borderId="0" xfId="1" applyNumberFormat="1" applyFont="1" applyFill="1"/>
    <xf numFmtId="0" fontId="24" fillId="6" borderId="0" xfId="1" applyFont="1" applyFill="1"/>
    <xf numFmtId="0" fontId="18" fillId="6" borderId="0" xfId="1" applyFill="1"/>
    <xf numFmtId="0" fontId="25" fillId="6" borderId="0" xfId="1" applyFont="1" applyFill="1"/>
    <xf numFmtId="0" fontId="23" fillId="6" borderId="0" xfId="1" quotePrefix="1" applyFont="1" applyFill="1"/>
    <xf numFmtId="0" fontId="22" fillId="6" borderId="0" xfId="1" applyFont="1" applyFill="1"/>
    <xf numFmtId="0" fontId="26" fillId="6" borderId="0" xfId="1" applyFont="1" applyFill="1"/>
    <xf numFmtId="169" fontId="20" fillId="6" borderId="0" xfId="2" applyNumberFormat="1" applyFont="1" applyFill="1"/>
    <xf numFmtId="0" fontId="22" fillId="6" borderId="0" xfId="1" applyFont="1" applyFill="1" applyAlignment="1">
      <alignment horizontal="right"/>
    </xf>
    <xf numFmtId="170" fontId="27" fillId="7" borderId="0" xfId="1" applyNumberFormat="1" applyFont="1" applyFill="1"/>
    <xf numFmtId="37" fontId="22" fillId="6" borderId="0" xfId="1" applyNumberFormat="1" applyFont="1" applyFill="1"/>
    <xf numFmtId="0" fontId="11" fillId="3" borderId="1" xfId="0" applyFont="1" applyFill="1" applyBorder="1" applyAlignment="1">
      <alignment horizontal="left"/>
    </xf>
    <xf numFmtId="0" fontId="12" fillId="0" borderId="0" xfId="0" applyFont="1" applyAlignment="1">
      <alignment horizontal="left" indent="1"/>
    </xf>
    <xf numFmtId="165" fontId="12" fillId="0" borderId="0" xfId="3" applyNumberFormat="1" applyFont="1" applyFill="1"/>
    <xf numFmtId="0" fontId="12" fillId="3" borderId="0" xfId="0" applyFont="1" applyFill="1" applyAlignment="1">
      <alignment horizontal="left" indent="1"/>
    </xf>
    <xf numFmtId="10" fontId="12" fillId="0" borderId="0" xfId="3" applyNumberFormat="1" applyFont="1" applyFill="1"/>
    <xf numFmtId="1" fontId="12" fillId="0" borderId="0" xfId="3" applyNumberFormat="1" applyFont="1" applyFill="1"/>
    <xf numFmtId="1" fontId="12" fillId="3" borderId="0" xfId="3" applyNumberFormat="1" applyFont="1" applyFill="1"/>
    <xf numFmtId="3" fontId="12" fillId="0" borderId="0" xfId="3" applyNumberFormat="1" applyFont="1" applyFill="1"/>
    <xf numFmtId="3" fontId="12" fillId="3" borderId="0" xfId="3" applyNumberFormat="1" applyFont="1" applyFill="1"/>
    <xf numFmtId="9" fontId="12" fillId="0" borderId="0" xfId="3" applyFont="1" applyFill="1"/>
    <xf numFmtId="9" fontId="12" fillId="3" borderId="0" xfId="3" applyFont="1" applyFill="1"/>
    <xf numFmtId="164" fontId="4" fillId="0" borderId="0" xfId="0" applyNumberFormat="1" applyFont="1"/>
    <xf numFmtId="0" fontId="4" fillId="0" borderId="0" xfId="0" applyFont="1" applyAlignment="1">
      <alignment horizontal="left"/>
    </xf>
    <xf numFmtId="1" fontId="4" fillId="0" borderId="0" xfId="0" applyNumberFormat="1" applyFont="1"/>
    <xf numFmtId="164" fontId="6" fillId="0" borderId="0" xfId="0" applyNumberFormat="1" applyFont="1"/>
    <xf numFmtId="15" fontId="0" fillId="0" borderId="1" xfId="0" applyNumberFormat="1" applyBorder="1"/>
    <xf numFmtId="10" fontId="0" fillId="0" borderId="0" xfId="0" applyNumberFormat="1"/>
    <xf numFmtId="17" fontId="5" fillId="0" borderId="0" xfId="0" applyNumberFormat="1" applyFont="1" applyAlignment="1">
      <alignment horizontal="left"/>
    </xf>
    <xf numFmtId="164" fontId="12" fillId="0" borderId="0" xfId="3" applyNumberFormat="1" applyFont="1" applyFill="1"/>
    <xf numFmtId="164" fontId="12" fillId="0" borderId="1" xfId="3" applyNumberFormat="1" applyFont="1" applyFill="1" applyBorder="1"/>
    <xf numFmtId="164" fontId="12" fillId="0" borderId="0" xfId="3" applyNumberFormat="1" applyFont="1" applyFill="1" applyBorder="1"/>
    <xf numFmtId="166" fontId="0" fillId="2" borderId="0" xfId="0" applyNumberFormat="1" applyFill="1"/>
    <xf numFmtId="17" fontId="0" fillId="0" borderId="1" xfId="0" applyNumberFormat="1" applyBorder="1"/>
    <xf numFmtId="15" fontId="5" fillId="0" borderId="0" xfId="0" applyNumberFormat="1" applyFont="1" applyAlignment="1">
      <alignment horizontal="left"/>
    </xf>
    <xf numFmtId="10" fontId="12" fillId="0" borderId="0" xfId="0" applyNumberFormat="1" applyFont="1"/>
    <xf numFmtId="0" fontId="32" fillId="0" borderId="0" xfId="0" applyFont="1"/>
    <xf numFmtId="9" fontId="32" fillId="0" borderId="0" xfId="0" applyNumberFormat="1" applyFont="1"/>
    <xf numFmtId="0" fontId="33" fillId="0" borderId="1" xfId="0" applyFont="1" applyBorder="1"/>
    <xf numFmtId="0" fontId="33" fillId="0" borderId="1" xfId="0" applyFont="1" applyBorder="1" applyAlignment="1">
      <alignment horizontal="right"/>
    </xf>
    <xf numFmtId="0" fontId="33" fillId="0" borderId="0" xfId="0" applyFont="1" applyAlignment="1">
      <alignment horizontal="right"/>
    </xf>
    <xf numFmtId="1" fontId="32" fillId="0" borderId="0" xfId="0" applyNumberFormat="1" applyFont="1" applyAlignment="1">
      <alignment horizontal="right"/>
    </xf>
    <xf numFmtId="0" fontId="32" fillId="0" borderId="0" xfId="0" applyFont="1" applyAlignment="1">
      <alignment horizontal="right"/>
    </xf>
    <xf numFmtId="1" fontId="34" fillId="0" borderId="0" xfId="0" applyNumberFormat="1" applyFont="1"/>
    <xf numFmtId="0" fontId="33" fillId="0" borderId="0" xfId="0" applyFont="1"/>
    <xf numFmtId="0" fontId="33" fillId="0" borderId="2" xfId="0" applyFont="1" applyBorder="1"/>
    <xf numFmtId="165" fontId="33" fillId="0" borderId="2" xfId="0" applyNumberFormat="1" applyFont="1" applyBorder="1"/>
    <xf numFmtId="165" fontId="33" fillId="0" borderId="0" xfId="0" applyNumberFormat="1" applyFont="1"/>
    <xf numFmtId="0" fontId="32" fillId="0" borderId="0" xfId="0" quotePrefix="1" applyFont="1"/>
    <xf numFmtId="165" fontId="32" fillId="0" borderId="0" xfId="0" applyNumberFormat="1" applyFont="1"/>
    <xf numFmtId="165" fontId="34" fillId="0" borderId="0" xfId="0" applyNumberFormat="1" applyFont="1"/>
    <xf numFmtId="164" fontId="32" fillId="0" borderId="0" xfId="0" applyNumberFormat="1" applyFont="1"/>
    <xf numFmtId="164" fontId="34" fillId="0" borderId="0" xfId="0" applyNumberFormat="1" applyFont="1"/>
    <xf numFmtId="9" fontId="34" fillId="0" borderId="0" xfId="0" applyNumberFormat="1" applyFont="1"/>
    <xf numFmtId="0" fontId="33" fillId="0" borderId="2" xfId="0" quotePrefix="1" applyFont="1" applyBorder="1"/>
    <xf numFmtId="2" fontId="32" fillId="0" borderId="0" xfId="0" applyNumberFormat="1" applyFont="1"/>
    <xf numFmtId="9" fontId="32" fillId="0" borderId="0" xfId="3" applyFont="1"/>
    <xf numFmtId="0" fontId="35" fillId="0" borderId="1" xfId="0" applyFont="1" applyBorder="1"/>
    <xf numFmtId="0" fontId="32" fillId="0" borderId="1" xfId="0" applyFont="1" applyBorder="1"/>
    <xf numFmtId="10" fontId="32" fillId="0" borderId="0" xfId="0" applyNumberFormat="1" applyFont="1"/>
    <xf numFmtId="0" fontId="36" fillId="0" borderId="1" xfId="0" applyFont="1" applyBorder="1"/>
    <xf numFmtId="0" fontId="36" fillId="0" borderId="1" xfId="0" applyFont="1" applyBorder="1" applyAlignment="1">
      <alignment horizontal="right"/>
    </xf>
    <xf numFmtId="0" fontId="37" fillId="0" borderId="1" xfId="0" applyFont="1" applyBorder="1" applyAlignment="1">
      <alignment horizontal="right"/>
    </xf>
    <xf numFmtId="0" fontId="38" fillId="0" borderId="1" xfId="0" applyFont="1" applyBorder="1"/>
    <xf numFmtId="3" fontId="37" fillId="3" borderId="0" xfId="0" applyNumberFormat="1" applyFont="1" applyFill="1"/>
    <xf numFmtId="0" fontId="37" fillId="0" borderId="0" xfId="0" applyFont="1"/>
    <xf numFmtId="3" fontId="37" fillId="0" borderId="0" xfId="0" applyNumberFormat="1" applyFont="1"/>
    <xf numFmtId="0" fontId="37" fillId="0" borderId="1" xfId="0" applyFont="1" applyBorder="1"/>
    <xf numFmtId="3" fontId="37" fillId="0" borderId="1" xfId="0" applyNumberFormat="1" applyFont="1" applyBorder="1"/>
    <xf numFmtId="0" fontId="39" fillId="0" borderId="0" xfId="0" applyFont="1"/>
    <xf numFmtId="0" fontId="38" fillId="0" borderId="0" xfId="0" applyFont="1"/>
    <xf numFmtId="164" fontId="37" fillId="0" borderId="0" xfId="0" applyNumberFormat="1" applyFont="1"/>
    <xf numFmtId="0" fontId="37" fillId="0" borderId="0" xfId="0" quotePrefix="1" applyFont="1"/>
    <xf numFmtId="3" fontId="36" fillId="0" borderId="1" xfId="0" applyNumberFormat="1" applyFont="1" applyBorder="1"/>
    <xf numFmtId="1" fontId="36" fillId="0" borderId="1" xfId="0" applyNumberFormat="1" applyFont="1" applyBorder="1"/>
    <xf numFmtId="3" fontId="37" fillId="3" borderId="0" xfId="0" applyNumberFormat="1" applyFont="1" applyFill="1" applyAlignment="1">
      <alignment vertical="center"/>
    </xf>
    <xf numFmtId="3" fontId="37" fillId="0" borderId="0" xfId="0" applyNumberFormat="1" applyFont="1" applyAlignment="1">
      <alignment vertical="center"/>
    </xf>
    <xf numFmtId="166" fontId="37" fillId="0" borderId="0" xfId="0" applyNumberFormat="1" applyFont="1"/>
    <xf numFmtId="0" fontId="37" fillId="8" borderId="0" xfId="0" applyFont="1" applyFill="1"/>
    <xf numFmtId="3" fontId="37" fillId="8" borderId="0" xfId="0" applyNumberFormat="1" applyFont="1" applyFill="1"/>
    <xf numFmtId="164" fontId="37" fillId="8" borderId="0" xfId="0" applyNumberFormat="1" applyFont="1" applyFill="1"/>
    <xf numFmtId="2" fontId="37" fillId="8" borderId="0" xfId="0" applyNumberFormat="1" applyFont="1" applyFill="1"/>
    <xf numFmtId="0" fontId="37" fillId="8" borderId="1" xfId="0" applyFont="1" applyFill="1" applyBorder="1"/>
    <xf numFmtId="165" fontId="37" fillId="8" borderId="1" xfId="0" applyNumberFormat="1" applyFont="1" applyFill="1" applyBorder="1" applyAlignment="1">
      <alignment horizontal="right"/>
    </xf>
    <xf numFmtId="0" fontId="37" fillId="8" borderId="0" xfId="0" quotePrefix="1" applyFont="1" applyFill="1"/>
    <xf numFmtId="9" fontId="37" fillId="8" borderId="0" xfId="0" applyNumberFormat="1" applyFont="1" applyFill="1"/>
    <xf numFmtId="3" fontId="37" fillId="8" borderId="1" xfId="0" applyNumberFormat="1" applyFont="1" applyFill="1" applyBorder="1"/>
    <xf numFmtId="164" fontId="37" fillId="8" borderId="1" xfId="0" applyNumberFormat="1" applyFont="1" applyFill="1" applyBorder="1"/>
    <xf numFmtId="0" fontId="40" fillId="0" borderId="0" xfId="0" applyFont="1" applyAlignment="1">
      <alignment vertical="center"/>
    </xf>
    <xf numFmtId="0" fontId="41" fillId="9" borderId="0" xfId="0" applyFont="1" applyFill="1" applyAlignment="1">
      <alignment horizontal="center" vertical="center"/>
    </xf>
    <xf numFmtId="0" fontId="42" fillId="0" borderId="0" xfId="0" applyFont="1" applyAlignment="1">
      <alignment vertical="center"/>
    </xf>
    <xf numFmtId="0" fontId="42" fillId="0" borderId="6" xfId="0" applyFont="1" applyBorder="1" applyAlignment="1">
      <alignment vertical="center"/>
    </xf>
    <xf numFmtId="166" fontId="42" fillId="0" borderId="0" xfId="0" applyNumberFormat="1" applyFont="1" applyAlignment="1">
      <alignment horizontal="center" vertical="center"/>
    </xf>
    <xf numFmtId="166" fontId="42" fillId="0" borderId="6" xfId="0" applyNumberFormat="1" applyFont="1" applyBorder="1" applyAlignment="1">
      <alignment horizontal="center" vertical="center"/>
    </xf>
    <xf numFmtId="165" fontId="33" fillId="0" borderId="0" xfId="0" applyNumberFormat="1" applyFont="1" applyAlignment="1">
      <alignment horizontal="right"/>
    </xf>
    <xf numFmtId="0" fontId="32" fillId="0" borderId="0" xfId="0" applyFont="1" applyAlignment="1">
      <alignment horizontal="left" indent="1"/>
    </xf>
    <xf numFmtId="0" fontId="33" fillId="0" borderId="0" xfId="0" applyFont="1" applyAlignment="1">
      <alignment horizontal="left" indent="1"/>
    </xf>
    <xf numFmtId="0" fontId="32" fillId="0" borderId="0" xfId="0" applyFont="1" applyAlignment="1">
      <alignment horizontal="left" indent="2"/>
    </xf>
    <xf numFmtId="0" fontId="32" fillId="0" borderId="1" xfId="0" applyFont="1" applyBorder="1" applyAlignment="1">
      <alignment horizontal="left" indent="2"/>
    </xf>
    <xf numFmtId="0" fontId="33" fillId="0" borderId="0" xfId="0" applyFont="1" applyAlignment="1">
      <alignment horizontal="left"/>
    </xf>
    <xf numFmtId="0" fontId="32" fillId="0" borderId="1" xfId="0" applyFont="1" applyBorder="1" applyAlignment="1">
      <alignment horizontal="left" indent="1"/>
    </xf>
    <xf numFmtId="3" fontId="32" fillId="0" borderId="0" xfId="0" applyNumberFormat="1" applyFont="1"/>
    <xf numFmtId="3" fontId="32" fillId="0" borderId="1" xfId="0" applyNumberFormat="1" applyFont="1" applyBorder="1"/>
    <xf numFmtId="3" fontId="33" fillId="0" borderId="0" xfId="0" applyNumberFormat="1" applyFont="1"/>
    <xf numFmtId="165" fontId="33" fillId="2" borderId="0" xfId="0" applyNumberFormat="1" applyFont="1" applyFill="1" applyAlignment="1">
      <alignment horizontal="right"/>
    </xf>
    <xf numFmtId="165" fontId="43" fillId="0" borderId="0" xfId="0" applyNumberFormat="1" applyFont="1"/>
    <xf numFmtId="164" fontId="32" fillId="0" borderId="1" xfId="0" applyNumberFormat="1" applyFont="1" applyBorder="1"/>
    <xf numFmtId="165" fontId="32" fillId="0" borderId="1" xfId="0" applyNumberFormat="1" applyFont="1" applyBorder="1"/>
    <xf numFmtId="164" fontId="33" fillId="0" borderId="0" xfId="0" applyNumberFormat="1" applyFont="1"/>
    <xf numFmtId="0" fontId="33" fillId="0" borderId="0" xfId="0" quotePrefix="1" applyFont="1"/>
    <xf numFmtId="10" fontId="33" fillId="0" borderId="0" xfId="0" applyNumberFormat="1" applyFont="1"/>
    <xf numFmtId="15" fontId="1" fillId="0" borderId="0" xfId="0" applyNumberFormat="1" applyFont="1"/>
    <xf numFmtId="0" fontId="44" fillId="0" borderId="0" xfId="0" applyFont="1"/>
    <xf numFmtId="9" fontId="32" fillId="0" borderId="0" xfId="0" applyNumberFormat="1" applyFont="1" applyAlignment="1">
      <alignment horizontal="right"/>
    </xf>
    <xf numFmtId="0" fontId="32" fillId="0" borderId="1" xfId="0" quotePrefix="1" applyFont="1" applyBorder="1"/>
    <xf numFmtId="10" fontId="0" fillId="0" borderId="0" xfId="0" applyNumberFormat="1" applyAlignment="1">
      <alignment horizontal="right"/>
    </xf>
    <xf numFmtId="0" fontId="0" fillId="8" borderId="0" xfId="0" applyFill="1"/>
    <xf numFmtId="0" fontId="0" fillId="8" borderId="0" xfId="0" quotePrefix="1" applyFill="1" applyAlignment="1">
      <alignment horizontal="right"/>
    </xf>
    <xf numFmtId="1" fontId="0" fillId="8" borderId="0" xfId="0" applyNumberFormat="1" applyFill="1"/>
    <xf numFmtId="3" fontId="0" fillId="8" borderId="0" xfId="0" applyNumberFormat="1" applyFill="1"/>
    <xf numFmtId="9" fontId="0" fillId="8" borderId="0" xfId="0" applyNumberFormat="1" applyFill="1"/>
    <xf numFmtId="0" fontId="0" fillId="8" borderId="0" xfId="0" applyFill="1" applyAlignment="1">
      <alignment horizontal="right"/>
    </xf>
    <xf numFmtId="2" fontId="0" fillId="8" borderId="0" xfId="0" applyNumberFormat="1" applyFill="1"/>
    <xf numFmtId="165" fontId="0" fillId="8" borderId="0" xfId="0" applyNumberFormat="1" applyFill="1"/>
    <xf numFmtId="9" fontId="0" fillId="0" borderId="1" xfId="0" quotePrefix="1" applyNumberFormat="1" applyBorder="1" applyAlignment="1">
      <alignment horizontal="right"/>
    </xf>
    <xf numFmtId="0" fontId="0" fillId="8" borderId="1" xfId="0" applyFill="1" applyBorder="1"/>
    <xf numFmtId="165" fontId="0" fillId="8" borderId="1" xfId="0" applyNumberFormat="1" applyFill="1" applyBorder="1"/>
    <xf numFmtId="165" fontId="32" fillId="2" borderId="0" xfId="0" applyNumberFormat="1" applyFont="1" applyFill="1"/>
    <xf numFmtId="16" fontId="0" fillId="0" borderId="0" xfId="0" quotePrefix="1" applyNumberFormat="1" applyAlignment="1">
      <alignment horizontal="right"/>
    </xf>
    <xf numFmtId="0" fontId="11" fillId="0" borderId="0" xfId="0" applyFont="1" applyAlignment="1">
      <alignment horizontal="right"/>
    </xf>
    <xf numFmtId="166" fontId="12" fillId="0" borderId="0" xfId="0" applyNumberFormat="1" applyFont="1"/>
    <xf numFmtId="3" fontId="29" fillId="0" borderId="0" xfId="0" applyNumberFormat="1" applyFont="1"/>
    <xf numFmtId="166" fontId="29" fillId="0" borderId="0" xfId="0" applyNumberFormat="1" applyFont="1"/>
    <xf numFmtId="166" fontId="6" fillId="0" borderId="0" xfId="0" applyNumberFormat="1" applyFont="1"/>
    <xf numFmtId="0" fontId="6" fillId="0" borderId="0" xfId="0" applyFont="1"/>
    <xf numFmtId="164" fontId="29" fillId="0" borderId="0" xfId="3" applyNumberFormat="1" applyFont="1" applyFill="1"/>
    <xf numFmtId="166" fontId="30" fillId="0" borderId="0" xfId="0" applyNumberFormat="1" applyFont="1"/>
    <xf numFmtId="0" fontId="30" fillId="0" borderId="0" xfId="0" applyFont="1"/>
    <xf numFmtId="0" fontId="29" fillId="0" borderId="0" xfId="0" applyFont="1"/>
    <xf numFmtId="164" fontId="29" fillId="0" borderId="0" xfId="3" applyNumberFormat="1" applyFont="1" applyFill="1" applyBorder="1"/>
    <xf numFmtId="0" fontId="30" fillId="0" borderId="1" xfId="0" applyFont="1" applyBorder="1"/>
    <xf numFmtId="3" fontId="11" fillId="0" borderId="1" xfId="0" applyNumberFormat="1" applyFont="1" applyBorder="1"/>
    <xf numFmtId="4" fontId="12" fillId="0" borderId="1" xfId="0" applyNumberFormat="1" applyFont="1" applyBorder="1"/>
    <xf numFmtId="164" fontId="29" fillId="0" borderId="0" xfId="0" applyNumberFormat="1" applyFont="1"/>
    <xf numFmtId="10" fontId="29" fillId="0" borderId="0" xfId="0" applyNumberFormat="1" applyFont="1"/>
    <xf numFmtId="1" fontId="0" fillId="2" borderId="1" xfId="0" applyNumberFormat="1" applyFill="1" applyBorder="1"/>
    <xf numFmtId="0" fontId="2" fillId="0" borderId="0" xfId="0" applyFont="1" applyAlignment="1">
      <alignment horizontal="right"/>
    </xf>
    <xf numFmtId="0" fontId="0" fillId="0" borderId="9" xfId="0" applyBorder="1" applyAlignment="1">
      <alignment horizontal="right"/>
    </xf>
    <xf numFmtId="0" fontId="2" fillId="0" borderId="10" xfId="0" applyFont="1" applyBorder="1" applyAlignment="1">
      <alignment horizontal="right"/>
    </xf>
    <xf numFmtId="0" fontId="2" fillId="0" borderId="11" xfId="0" applyFont="1" applyBorder="1" applyAlignment="1">
      <alignment horizontal="right"/>
    </xf>
    <xf numFmtId="0" fontId="0" fillId="0" borderId="7" xfId="0" applyBorder="1"/>
    <xf numFmtId="0" fontId="0" fillId="0" borderId="8" xfId="0" applyBorder="1"/>
    <xf numFmtId="9" fontId="0" fillId="0" borderId="7" xfId="0" applyNumberFormat="1" applyBorder="1"/>
    <xf numFmtId="9" fontId="0" fillId="0" borderId="8" xfId="0" applyNumberFormat="1" applyBorder="1"/>
    <xf numFmtId="9" fontId="0" fillId="0" borderId="12" xfId="0" applyNumberFormat="1" applyBorder="1"/>
    <xf numFmtId="9" fontId="0" fillId="0" borderId="6" xfId="0" applyNumberFormat="1" applyBorder="1"/>
    <xf numFmtId="9" fontId="0" fillId="0" borderId="13" xfId="0" applyNumberFormat="1" applyBorder="1"/>
    <xf numFmtId="0" fontId="0" fillId="8" borderId="0" xfId="0" quotePrefix="1" applyFill="1"/>
    <xf numFmtId="164" fontId="0" fillId="8" borderId="0" xfId="0" applyNumberFormat="1" applyFill="1"/>
    <xf numFmtId="9" fontId="1" fillId="8" borderId="5" xfId="0" applyNumberFormat="1" applyFont="1" applyFill="1" applyBorder="1"/>
    <xf numFmtId="0" fontId="0" fillId="8" borderId="10" xfId="0" applyFill="1" applyBorder="1"/>
    <xf numFmtId="0" fontId="0" fillId="8" borderId="11" xfId="0" applyFill="1" applyBorder="1"/>
    <xf numFmtId="0" fontId="0" fillId="8" borderId="12" xfId="0" applyFill="1" applyBorder="1"/>
    <xf numFmtId="0" fontId="0" fillId="8" borderId="6" xfId="0" applyFill="1" applyBorder="1"/>
    <xf numFmtId="165" fontId="0" fillId="8" borderId="6" xfId="0" applyNumberFormat="1" applyFill="1" applyBorder="1"/>
    <xf numFmtId="9" fontId="0" fillId="8" borderId="13" xfId="0" applyNumberFormat="1" applyFill="1" applyBorder="1"/>
    <xf numFmtId="0" fontId="1" fillId="8" borderId="9" xfId="0" applyFont="1" applyFill="1" applyBorder="1"/>
    <xf numFmtId="3" fontId="0" fillId="8" borderId="0" xfId="0" applyNumberFormat="1" applyFill="1" applyAlignment="1">
      <alignment horizontal="right"/>
    </xf>
    <xf numFmtId="165" fontId="34" fillId="0" borderId="1" xfId="0" applyNumberFormat="1" applyFont="1" applyBorder="1"/>
    <xf numFmtId="0" fontId="45" fillId="0" borderId="0" xfId="0" applyFont="1" applyAlignment="1">
      <alignment vertical="center"/>
    </xf>
    <xf numFmtId="9" fontId="42" fillId="0" borderId="0" xfId="0" applyNumberFormat="1" applyFont="1" applyAlignment="1">
      <alignment horizontal="center" vertical="center"/>
    </xf>
    <xf numFmtId="10" fontId="42" fillId="0" borderId="0" xfId="0" applyNumberFormat="1" applyFont="1" applyAlignment="1">
      <alignment horizontal="center" vertical="center"/>
    </xf>
    <xf numFmtId="164" fontId="0" fillId="0" borderId="7" xfId="0" applyNumberFormat="1" applyBorder="1"/>
    <xf numFmtId="164" fontId="0" fillId="0" borderId="8" xfId="0" applyNumberFormat="1" applyBorder="1"/>
    <xf numFmtId="9" fontId="0" fillId="8" borderId="1" xfId="0" applyNumberFormat="1" applyFill="1" applyBorder="1"/>
    <xf numFmtId="9" fontId="0" fillId="0" borderId="0" xfId="0" quotePrefix="1" applyNumberFormat="1" applyAlignment="1">
      <alignment horizontal="right"/>
    </xf>
    <xf numFmtId="171" fontId="0" fillId="0" borderId="0" xfId="0" applyNumberFormat="1"/>
    <xf numFmtId="17" fontId="1" fillId="0" borderId="0" xfId="0" applyNumberFormat="1" applyFont="1"/>
    <xf numFmtId="10" fontId="12" fillId="0" borderId="16" xfId="0" applyNumberFormat="1" applyFont="1" applyBorder="1"/>
    <xf numFmtId="0" fontId="1" fillId="0" borderId="17" xfId="0" applyFont="1" applyBorder="1"/>
    <xf numFmtId="9" fontId="1" fillId="0" borderId="18" xfId="0" applyNumberFormat="1" applyFont="1" applyBorder="1"/>
    <xf numFmtId="9" fontId="1" fillId="0" borderId="19" xfId="0" applyNumberFormat="1" applyFont="1" applyBorder="1"/>
    <xf numFmtId="0" fontId="1" fillId="8" borderId="17" xfId="0" applyFont="1" applyFill="1" applyBorder="1"/>
    <xf numFmtId="9" fontId="1" fillId="8" borderId="18" xfId="0" applyNumberFormat="1" applyFont="1" applyFill="1" applyBorder="1"/>
    <xf numFmtId="0" fontId="1" fillId="8" borderId="0" xfId="0" applyFont="1" applyFill="1"/>
    <xf numFmtId="0" fontId="2" fillId="8" borderId="0" xfId="0" applyFont="1" applyFill="1" applyAlignment="1">
      <alignment horizontal="right"/>
    </xf>
    <xf numFmtId="0" fontId="0" fillId="8" borderId="1" xfId="0" applyFill="1" applyBorder="1" applyAlignment="1">
      <alignment horizontal="right"/>
    </xf>
    <xf numFmtId="2" fontId="0" fillId="0" borderId="0" xfId="0" applyNumberFormat="1"/>
    <xf numFmtId="172" fontId="32" fillId="0" borderId="0" xfId="0" applyNumberFormat="1" applyFont="1"/>
    <xf numFmtId="2" fontId="0" fillId="2" borderId="0" xfId="0" applyNumberFormat="1" applyFill="1"/>
    <xf numFmtId="2" fontId="4" fillId="0" borderId="0" xfId="0" applyNumberFormat="1" applyFont="1"/>
    <xf numFmtId="9" fontId="32" fillId="10" borderId="0" xfId="0" applyNumberFormat="1" applyFont="1" applyFill="1"/>
    <xf numFmtId="0" fontId="33" fillId="10" borderId="1" xfId="0" applyFont="1" applyFill="1" applyBorder="1" applyAlignment="1">
      <alignment horizontal="right"/>
    </xf>
    <xf numFmtId="1" fontId="32" fillId="10" borderId="0" xfId="0" applyNumberFormat="1" applyFont="1" applyFill="1" applyAlignment="1">
      <alignment horizontal="right"/>
    </xf>
    <xf numFmtId="0" fontId="33" fillId="10" borderId="0" xfId="0" applyFont="1" applyFill="1" applyAlignment="1">
      <alignment horizontal="right"/>
    </xf>
    <xf numFmtId="165" fontId="33" fillId="10" borderId="2" xfId="0" applyNumberFormat="1" applyFont="1" applyFill="1" applyBorder="1"/>
    <xf numFmtId="165" fontId="32" fillId="10" borderId="0" xfId="0" applyNumberFormat="1" applyFont="1" applyFill="1"/>
    <xf numFmtId="165" fontId="34" fillId="10" borderId="0" xfId="0" applyNumberFormat="1" applyFont="1" applyFill="1"/>
    <xf numFmtId="165" fontId="32" fillId="10" borderId="1" xfId="0" applyNumberFormat="1" applyFont="1" applyFill="1" applyBorder="1"/>
    <xf numFmtId="165" fontId="34" fillId="10" borderId="1" xfId="0" applyNumberFormat="1" applyFont="1" applyFill="1" applyBorder="1"/>
    <xf numFmtId="1" fontId="32" fillId="10" borderId="0" xfId="0" applyNumberFormat="1" applyFont="1" applyFill="1"/>
    <xf numFmtId="10" fontId="32" fillId="10" borderId="0" xfId="0" applyNumberFormat="1" applyFont="1" applyFill="1"/>
    <xf numFmtId="10" fontId="33" fillId="10" borderId="0" xfId="0" applyNumberFormat="1" applyFont="1" applyFill="1"/>
    <xf numFmtId="165" fontId="33" fillId="10" borderId="0" xfId="0" applyNumberFormat="1" applyFont="1" applyFill="1" applyAlignment="1">
      <alignment horizontal="right"/>
    </xf>
    <xf numFmtId="3" fontId="32" fillId="10" borderId="0" xfId="0" applyNumberFormat="1" applyFont="1" applyFill="1"/>
    <xf numFmtId="164" fontId="32" fillId="10" borderId="0" xfId="0" applyNumberFormat="1" applyFont="1" applyFill="1"/>
    <xf numFmtId="0" fontId="32" fillId="10" borderId="0" xfId="0" applyFont="1" applyFill="1"/>
    <xf numFmtId="165" fontId="33" fillId="10" borderId="0" xfId="0" applyNumberFormat="1" applyFont="1" applyFill="1"/>
    <xf numFmtId="164" fontId="33" fillId="10" borderId="0" xfId="0" applyNumberFormat="1" applyFont="1" applyFill="1"/>
    <xf numFmtId="1" fontId="3" fillId="0" borderId="20" xfId="0" applyNumberFormat="1" applyFont="1" applyBorder="1"/>
    <xf numFmtId="1" fontId="3" fillId="0" borderId="0" xfId="0" applyNumberFormat="1" applyFont="1"/>
    <xf numFmtId="1" fontId="3" fillId="0" borderId="4" xfId="0" applyNumberFormat="1" applyFont="1" applyBorder="1"/>
    <xf numFmtId="9" fontId="3" fillId="0" borderId="0" xfId="0" applyNumberFormat="1" applyFont="1"/>
    <xf numFmtId="9" fontId="3" fillId="0" borderId="4" xfId="0" applyNumberFormat="1" applyFont="1" applyBorder="1"/>
    <xf numFmtId="1" fontId="3" fillId="0" borderId="21" xfId="0" applyNumberFormat="1" applyFont="1" applyBorder="1"/>
    <xf numFmtId="1" fontId="3" fillId="0" borderId="1" xfId="0" applyNumberFormat="1" applyFont="1" applyBorder="1"/>
    <xf numFmtId="1" fontId="3" fillId="0" borderId="22" xfId="0" applyNumberFormat="1" applyFont="1" applyBorder="1"/>
    <xf numFmtId="0" fontId="46" fillId="0" borderId="23" xfId="0" applyFont="1" applyBorder="1" applyAlignment="1">
      <alignment horizontal="right"/>
    </xf>
    <xf numFmtId="0" fontId="46" fillId="0" borderId="3" xfId="0" applyFont="1" applyBorder="1" applyAlignment="1">
      <alignment horizontal="right"/>
    </xf>
    <xf numFmtId="0" fontId="46" fillId="0" borderId="24" xfId="0" applyFont="1" applyBorder="1" applyAlignment="1">
      <alignment horizontal="right"/>
    </xf>
    <xf numFmtId="9" fontId="3" fillId="0" borderId="20" xfId="0" applyNumberFormat="1" applyFont="1" applyBorder="1" applyAlignment="1">
      <alignment horizontal="right"/>
    </xf>
    <xf numFmtId="1" fontId="3" fillId="0" borderId="20" xfId="0" applyNumberFormat="1" applyFont="1" applyBorder="1" applyAlignment="1">
      <alignment horizontal="right"/>
    </xf>
    <xf numFmtId="0" fontId="1" fillId="10" borderId="25" xfId="0" applyFont="1" applyFill="1" applyBorder="1" applyAlignment="1">
      <alignment horizontal="right"/>
    </xf>
    <xf numFmtId="1" fontId="1" fillId="10" borderId="16" xfId="0" applyNumberFormat="1" applyFont="1" applyFill="1" applyBorder="1"/>
    <xf numFmtId="9" fontId="1" fillId="10" borderId="16" xfId="0" applyNumberFormat="1" applyFont="1" applyFill="1" applyBorder="1"/>
    <xf numFmtId="1" fontId="1" fillId="10" borderId="15" xfId="0" applyNumberFormat="1" applyFont="1" applyFill="1" applyBorder="1"/>
    <xf numFmtId="164" fontId="0" fillId="0" borderId="0" xfId="4" applyNumberFormat="1" applyFont="1"/>
    <xf numFmtId="9" fontId="42" fillId="2" borderId="0" xfId="0" applyNumberFormat="1" applyFont="1" applyFill="1" applyAlignment="1">
      <alignment horizontal="center" vertical="center"/>
    </xf>
    <xf numFmtId="166" fontId="37" fillId="8" borderId="0" xfId="0" applyNumberFormat="1" applyFont="1" applyFill="1"/>
    <xf numFmtId="0" fontId="0" fillId="0" borderId="10" xfId="0" applyBorder="1" applyAlignment="1">
      <alignment horizontal="right"/>
    </xf>
    <xf numFmtId="3" fontId="12" fillId="0" borderId="16" xfId="0" applyNumberFormat="1" applyFont="1" applyBorder="1"/>
    <xf numFmtId="17" fontId="0" fillId="0" borderId="0" xfId="0" applyNumberFormat="1"/>
    <xf numFmtId="0" fontId="0" fillId="0" borderId="0" xfId="0" quotePrefix="1" applyAlignment="1">
      <alignment horizontal="right"/>
    </xf>
    <xf numFmtId="2" fontId="34" fillId="0" borderId="0" xfId="0" applyNumberFormat="1" applyFont="1"/>
    <xf numFmtId="9" fontId="1" fillId="0" borderId="0" xfId="0" applyNumberFormat="1" applyFont="1"/>
    <xf numFmtId="164" fontId="0" fillId="8" borderId="1" xfId="0" applyNumberFormat="1" applyFill="1" applyBorder="1"/>
    <xf numFmtId="10" fontId="0" fillId="0" borderId="0" xfId="0" quotePrefix="1" applyNumberFormat="1" applyAlignment="1">
      <alignment horizontal="right"/>
    </xf>
    <xf numFmtId="1" fontId="1" fillId="0" borderId="0" xfId="0" applyNumberFormat="1" applyFont="1"/>
    <xf numFmtId="165" fontId="1" fillId="8" borderId="0" xfId="0" applyNumberFormat="1" applyFont="1" applyFill="1"/>
    <xf numFmtId="164" fontId="1" fillId="8" borderId="0" xfId="0" applyNumberFormat="1" applyFont="1" applyFill="1"/>
    <xf numFmtId="1" fontId="1" fillId="8" borderId="0" xfId="0" applyNumberFormat="1" applyFont="1" applyFill="1"/>
    <xf numFmtId="3" fontId="0" fillId="8" borderId="1" xfId="0" applyNumberFormat="1" applyFill="1" applyBorder="1"/>
    <xf numFmtId="3" fontId="1" fillId="0" borderId="0" xfId="0" applyNumberFormat="1" applyFont="1"/>
    <xf numFmtId="0" fontId="1" fillId="8" borderId="0" xfId="0" applyFont="1" applyFill="1" applyAlignment="1">
      <alignment horizontal="right"/>
    </xf>
    <xf numFmtId="9" fontId="1" fillId="8" borderId="0" xfId="0" applyNumberFormat="1" applyFont="1" applyFill="1"/>
    <xf numFmtId="166" fontId="42" fillId="2" borderId="0" xfId="0" applyNumberFormat="1" applyFont="1" applyFill="1" applyAlignment="1">
      <alignment horizontal="center" vertical="center"/>
    </xf>
    <xf numFmtId="0" fontId="1" fillId="0" borderId="25" xfId="0" applyFont="1" applyBorder="1" applyAlignment="1">
      <alignment horizontal="right"/>
    </xf>
    <xf numFmtId="0" fontId="1" fillId="8" borderId="16" xfId="0" applyFont="1" applyFill="1" applyBorder="1" applyAlignment="1">
      <alignment horizontal="right"/>
    </xf>
    <xf numFmtId="1" fontId="0" fillId="0" borderId="16" xfId="0" applyNumberFormat="1" applyBorder="1"/>
    <xf numFmtId="1" fontId="0" fillId="8" borderId="16" xfId="0" applyNumberFormat="1" applyFill="1" applyBorder="1"/>
    <xf numFmtId="9" fontId="1" fillId="0" borderId="16" xfId="0" applyNumberFormat="1" applyFont="1" applyBorder="1"/>
    <xf numFmtId="0" fontId="0" fillId="8" borderId="16" xfId="0" applyFill="1" applyBorder="1"/>
    <xf numFmtId="0" fontId="0" fillId="0" borderId="16" xfId="0" applyBorder="1"/>
    <xf numFmtId="9" fontId="1" fillId="8" borderId="16" xfId="0" applyNumberFormat="1" applyFont="1" applyFill="1" applyBorder="1"/>
    <xf numFmtId="9" fontId="1" fillId="0" borderId="5" xfId="0" applyNumberFormat="1" applyFont="1" applyBorder="1"/>
    <xf numFmtId="0" fontId="1" fillId="0" borderId="0" xfId="0" applyFont="1" applyAlignment="1">
      <alignment horizontal="center"/>
    </xf>
    <xf numFmtId="0" fontId="11" fillId="0" borderId="0" xfId="0" applyFont="1"/>
    <xf numFmtId="1" fontId="0" fillId="8" borderId="1" xfId="0" applyNumberFormat="1" applyFill="1" applyBorder="1"/>
    <xf numFmtId="164" fontId="12" fillId="0" borderId="16" xfId="0" applyNumberFormat="1" applyFont="1" applyBorder="1"/>
    <xf numFmtId="0" fontId="11" fillId="0" borderId="17" xfId="0" applyFont="1" applyBorder="1"/>
    <xf numFmtId="3" fontId="11" fillId="0" borderId="18" xfId="0" applyNumberFormat="1" applyFont="1" applyBorder="1"/>
    <xf numFmtId="3" fontId="11" fillId="0" borderId="5" xfId="0" applyNumberFormat="1" applyFont="1" applyBorder="1"/>
    <xf numFmtId="9" fontId="11" fillId="0" borderId="18" xfId="0" applyNumberFormat="1" applyFont="1" applyBorder="1"/>
    <xf numFmtId="0" fontId="1" fillId="0" borderId="26" xfId="0" applyFont="1" applyBorder="1" applyAlignment="1">
      <alignment horizontal="right"/>
    </xf>
    <xf numFmtId="1" fontId="0" fillId="8" borderId="20" xfId="0" applyNumberFormat="1" applyFill="1" applyBorder="1"/>
    <xf numFmtId="1" fontId="0" fillId="0" borderId="20" xfId="0" applyNumberFormat="1" applyBorder="1"/>
    <xf numFmtId="9" fontId="0" fillId="8" borderId="20" xfId="0" applyNumberFormat="1" applyFill="1" applyBorder="1"/>
    <xf numFmtId="164" fontId="0" fillId="8" borderId="20" xfId="0" applyNumberFormat="1" applyFill="1" applyBorder="1"/>
    <xf numFmtId="164" fontId="0" fillId="0" borderId="20" xfId="0" applyNumberFormat="1" applyBorder="1"/>
    <xf numFmtId="164" fontId="0" fillId="8" borderId="21" xfId="0" applyNumberFormat="1" applyFill="1" applyBorder="1"/>
    <xf numFmtId="0" fontId="0" fillId="8" borderId="20" xfId="0" applyFill="1" applyBorder="1"/>
    <xf numFmtId="164" fontId="0" fillId="8" borderId="27" xfId="0" applyNumberFormat="1" applyFill="1" applyBorder="1"/>
    <xf numFmtId="1" fontId="0" fillId="8" borderId="27" xfId="0" applyNumberFormat="1" applyFill="1" applyBorder="1"/>
    <xf numFmtId="1" fontId="0" fillId="8" borderId="21" xfId="0" applyNumberFormat="1" applyFill="1" applyBorder="1"/>
    <xf numFmtId="1" fontId="1" fillId="0" borderId="20" xfId="0" applyNumberFormat="1" applyFont="1" applyBorder="1"/>
    <xf numFmtId="164" fontId="1" fillId="0" borderId="20" xfId="0" applyNumberFormat="1" applyFont="1" applyBorder="1"/>
    <xf numFmtId="164" fontId="0" fillId="0" borderId="1" xfId="0" applyNumberFormat="1" applyBorder="1" applyAlignment="1">
      <alignment horizontal="right"/>
    </xf>
    <xf numFmtId="164" fontId="1" fillId="0" borderId="1" xfId="0" applyNumberFormat="1" applyFont="1" applyBorder="1" applyAlignment="1">
      <alignment horizontal="right"/>
    </xf>
    <xf numFmtId="9" fontId="32" fillId="0" borderId="1" xfId="0" applyNumberFormat="1" applyFont="1" applyBorder="1"/>
    <xf numFmtId="165" fontId="33" fillId="0" borderId="1" xfId="0" applyNumberFormat="1" applyFont="1" applyBorder="1"/>
    <xf numFmtId="9" fontId="34" fillId="0" borderId="1" xfId="0" applyNumberFormat="1" applyFont="1" applyBorder="1"/>
    <xf numFmtId="1" fontId="6" fillId="0" borderId="0" xfId="0" applyNumberFormat="1" applyFont="1"/>
    <xf numFmtId="9" fontId="32" fillId="10" borderId="1" xfId="0" applyNumberFormat="1" applyFont="1" applyFill="1" applyBorder="1"/>
    <xf numFmtId="165" fontId="43" fillId="10" borderId="0" xfId="0" applyNumberFormat="1" applyFont="1" applyFill="1"/>
    <xf numFmtId="2" fontId="32" fillId="0" borderId="1" xfId="0" applyNumberFormat="1" applyFont="1" applyBorder="1"/>
    <xf numFmtId="1" fontId="32" fillId="0" borderId="0" xfId="0" applyNumberFormat="1" applyFont="1"/>
    <xf numFmtId="1" fontId="32" fillId="0" borderId="1" xfId="0" applyNumberFormat="1" applyFont="1" applyBorder="1"/>
    <xf numFmtId="165" fontId="47" fillId="0" borderId="0" xfId="0" applyNumberFormat="1" applyFont="1"/>
    <xf numFmtId="165" fontId="1" fillId="2" borderId="0" xfId="0" applyNumberFormat="1" applyFont="1" applyFill="1"/>
    <xf numFmtId="9" fontId="33" fillId="10" borderId="0" xfId="0" applyNumberFormat="1" applyFont="1" applyFill="1"/>
    <xf numFmtId="9" fontId="48" fillId="0" borderId="0" xfId="0" applyNumberFormat="1" applyFont="1"/>
    <xf numFmtId="0" fontId="48" fillId="0" borderId="0" xfId="0" applyFont="1"/>
    <xf numFmtId="0" fontId="1" fillId="8" borderId="18" xfId="0" applyFont="1" applyFill="1" applyBorder="1"/>
    <xf numFmtId="3" fontId="1" fillId="8" borderId="18" xfId="0" applyNumberFormat="1" applyFont="1" applyFill="1" applyBorder="1"/>
    <xf numFmtId="3" fontId="1" fillId="8" borderId="19" xfId="0" applyNumberFormat="1" applyFont="1" applyFill="1" applyBorder="1"/>
    <xf numFmtId="0" fontId="1" fillId="0" borderId="18" xfId="0" applyFont="1" applyBorder="1"/>
    <xf numFmtId="1" fontId="1" fillId="0" borderId="18" xfId="0" applyNumberFormat="1" applyFont="1" applyBorder="1"/>
    <xf numFmtId="1" fontId="1" fillId="0" borderId="19" xfId="0" applyNumberFormat="1" applyFont="1" applyBorder="1"/>
    <xf numFmtId="9" fontId="1" fillId="8" borderId="19" xfId="0" applyNumberFormat="1" applyFont="1" applyFill="1" applyBorder="1"/>
    <xf numFmtId="0" fontId="3" fillId="8" borderId="0" xfId="0" applyFont="1" applyFill="1"/>
    <xf numFmtId="1" fontId="3" fillId="8" borderId="0" xfId="0" applyNumberFormat="1" applyFont="1" applyFill="1"/>
    <xf numFmtId="3" fontId="3" fillId="0" borderId="0" xfId="0" applyNumberFormat="1" applyFont="1"/>
    <xf numFmtId="3" fontId="0" fillId="8" borderId="16" xfId="0" applyNumberFormat="1" applyFill="1" applyBorder="1"/>
    <xf numFmtId="3" fontId="0" fillId="0" borderId="16" xfId="0" applyNumberFormat="1" applyBorder="1"/>
    <xf numFmtId="3" fontId="0" fillId="8" borderId="28" xfId="0" applyNumberFormat="1" applyFill="1" applyBorder="1"/>
    <xf numFmtId="3" fontId="3" fillId="0" borderId="16" xfId="0" applyNumberFormat="1" applyFont="1" applyBorder="1"/>
    <xf numFmtId="3" fontId="1" fillId="8" borderId="5" xfId="0" applyNumberFormat="1" applyFont="1" applyFill="1" applyBorder="1"/>
    <xf numFmtId="1" fontId="0" fillId="0" borderId="14" xfId="0" applyNumberFormat="1" applyBorder="1"/>
    <xf numFmtId="1" fontId="0" fillId="0" borderId="28" xfId="0" applyNumberFormat="1" applyBorder="1"/>
    <xf numFmtId="1" fontId="3" fillId="8" borderId="16" xfId="0" applyNumberFormat="1" applyFont="1" applyFill="1" applyBorder="1"/>
    <xf numFmtId="1" fontId="1" fillId="0" borderId="5" xfId="0" applyNumberFormat="1" applyFont="1" applyBorder="1"/>
    <xf numFmtId="9" fontId="0" fillId="8" borderId="14" xfId="0" applyNumberFormat="1" applyFill="1" applyBorder="1"/>
    <xf numFmtId="9" fontId="0" fillId="0" borderId="16" xfId="0" applyNumberFormat="1" applyBorder="1"/>
    <xf numFmtId="9" fontId="0" fillId="8" borderId="16" xfId="0" applyNumberFormat="1" applyFill="1" applyBorder="1"/>
    <xf numFmtId="9" fontId="0" fillId="8" borderId="28" xfId="0" applyNumberFormat="1" applyFill="1" applyBorder="1"/>
    <xf numFmtId="9" fontId="3" fillId="0" borderId="16" xfId="0" applyNumberFormat="1" applyFont="1" applyBorder="1"/>
    <xf numFmtId="165" fontId="4" fillId="2" borderId="0" xfId="0" applyNumberFormat="1" applyFont="1" applyFill="1"/>
    <xf numFmtId="165" fontId="37" fillId="0" borderId="0" xfId="0" applyNumberFormat="1" applyFont="1"/>
    <xf numFmtId="165" fontId="37" fillId="8" borderId="0" xfId="0" applyNumberFormat="1" applyFont="1" applyFill="1"/>
    <xf numFmtId="0" fontId="0" fillId="8" borderId="0" xfId="0" applyFill="1" applyAlignment="1">
      <alignment vertical="top"/>
    </xf>
    <xf numFmtId="0" fontId="1" fillId="8" borderId="0" xfId="0" applyFont="1" applyFill="1" applyAlignment="1">
      <alignment horizontal="right" vertical="top"/>
    </xf>
    <xf numFmtId="164" fontId="0" fillId="8" borderId="0" xfId="0" applyNumberFormat="1" applyFill="1" applyAlignment="1">
      <alignment vertical="top"/>
    </xf>
    <xf numFmtId="10" fontId="1" fillId="0" borderId="5" xfId="0" applyNumberFormat="1" applyFont="1" applyBorder="1"/>
    <xf numFmtId="2" fontId="37" fillId="0" borderId="0" xfId="0" applyNumberFormat="1" applyFont="1"/>
    <xf numFmtId="9" fontId="33" fillId="0" borderId="0" xfId="0" applyNumberFormat="1" applyFont="1"/>
    <xf numFmtId="0" fontId="0" fillId="11" borderId="0" xfId="0" applyFill="1"/>
    <xf numFmtId="165" fontId="0" fillId="11" borderId="0" xfId="0" applyNumberFormat="1" applyFill="1" applyAlignment="1">
      <alignment horizontal="right"/>
    </xf>
    <xf numFmtId="0" fontId="0" fillId="11" borderId="0" xfId="0" applyFill="1" applyAlignment="1">
      <alignment horizontal="right"/>
    </xf>
    <xf numFmtId="165" fontId="0" fillId="11" borderId="0" xfId="0" applyNumberFormat="1" applyFill="1"/>
    <xf numFmtId="9" fontId="0" fillId="11" borderId="0" xfId="0" applyNumberFormat="1" applyFill="1"/>
    <xf numFmtId="1" fontId="0" fillId="11" borderId="0" xfId="0" quotePrefix="1" applyNumberFormat="1" applyFill="1" applyAlignment="1">
      <alignment horizontal="right"/>
    </xf>
    <xf numFmtId="0" fontId="0" fillId="11" borderId="0" xfId="0" quotePrefix="1" applyFill="1" applyAlignment="1">
      <alignment horizontal="right"/>
    </xf>
    <xf numFmtId="1" fontId="0" fillId="11" borderId="0" xfId="0" applyNumberFormat="1" applyFill="1"/>
    <xf numFmtId="1" fontId="0" fillId="11" borderId="0" xfId="0" applyNumberFormat="1" applyFill="1" applyAlignment="1">
      <alignment horizontal="right"/>
    </xf>
    <xf numFmtId="3" fontId="0" fillId="11" borderId="0" xfId="0" applyNumberFormat="1" applyFill="1"/>
    <xf numFmtId="0" fontId="0" fillId="11" borderId="1" xfId="0" applyFill="1" applyBorder="1"/>
    <xf numFmtId="164" fontId="0" fillId="11" borderId="1" xfId="0" applyNumberFormat="1" applyFill="1" applyBorder="1"/>
    <xf numFmtId="164" fontId="0" fillId="11" borderId="1" xfId="0" quotePrefix="1" applyNumberFormat="1" applyFill="1" applyBorder="1" applyAlignment="1">
      <alignment horizontal="right"/>
    </xf>
    <xf numFmtId="0" fontId="11" fillId="11" borderId="17" xfId="0" applyFont="1" applyFill="1" applyBorder="1"/>
    <xf numFmtId="3" fontId="11" fillId="11" borderId="18" xfId="0" applyNumberFormat="1" applyFont="1" applyFill="1" applyBorder="1"/>
    <xf numFmtId="3" fontId="11" fillId="11" borderId="5" xfId="0" applyNumberFormat="1" applyFont="1" applyFill="1" applyBorder="1"/>
    <xf numFmtId="9" fontId="11" fillId="11" borderId="18" xfId="0" applyNumberFormat="1" applyFont="1" applyFill="1" applyBorder="1"/>
    <xf numFmtId="0" fontId="11" fillId="11" borderId="0" xfId="0" applyFont="1" applyFill="1"/>
    <xf numFmtId="3" fontId="11" fillId="11" borderId="0" xfId="0" applyNumberFormat="1" applyFont="1" applyFill="1"/>
    <xf numFmtId="3" fontId="11" fillId="11" borderId="16" xfId="0" applyNumberFormat="1" applyFont="1" applyFill="1" applyBorder="1"/>
    <xf numFmtId="9" fontId="11" fillId="11" borderId="0" xfId="0" applyNumberFormat="1" applyFont="1" applyFill="1"/>
    <xf numFmtId="0" fontId="12" fillId="11" borderId="0" xfId="0" applyFont="1" applyFill="1"/>
    <xf numFmtId="3" fontId="12" fillId="11" borderId="0" xfId="0" applyNumberFormat="1" applyFont="1" applyFill="1"/>
    <xf numFmtId="3" fontId="12" fillId="11" borderId="16" xfId="0" applyNumberFormat="1" applyFont="1" applyFill="1" applyBorder="1"/>
    <xf numFmtId="9" fontId="12" fillId="11" borderId="0" xfId="0" applyNumberFormat="1" applyFont="1" applyFill="1"/>
    <xf numFmtId="10" fontId="12" fillId="11" borderId="0" xfId="0" applyNumberFormat="1" applyFont="1" applyFill="1"/>
    <xf numFmtId="10" fontId="12" fillId="11" borderId="16" xfId="0" applyNumberFormat="1" applyFont="1" applyFill="1" applyBorder="1"/>
    <xf numFmtId="164" fontId="12" fillId="11" borderId="0" xfId="0" applyNumberFormat="1" applyFont="1" applyFill="1"/>
    <xf numFmtId="164" fontId="12" fillId="11" borderId="16" xfId="0" applyNumberFormat="1" applyFont="1" applyFill="1" applyBorder="1"/>
    <xf numFmtId="0" fontId="11" fillId="11" borderId="1" xfId="0" applyFont="1" applyFill="1" applyBorder="1"/>
    <xf numFmtId="9" fontId="11" fillId="11" borderId="1" xfId="0" applyNumberFormat="1" applyFont="1" applyFill="1" applyBorder="1"/>
    <xf numFmtId="9" fontId="11" fillId="11" borderId="15" xfId="0" applyNumberFormat="1" applyFont="1" applyFill="1" applyBorder="1"/>
    <xf numFmtId="164" fontId="11" fillId="11" borderId="1" xfId="0" applyNumberFormat="1" applyFont="1" applyFill="1" applyBorder="1"/>
    <xf numFmtId="0" fontId="1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textRotation="90"/>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cellXfs>
  <cellStyles count="5">
    <cellStyle name="Comma" xfId="4" builtinId="3"/>
    <cellStyle name="Comma 3" xfId="2" xr:uid="{05EF18D8-1DA6-4EDA-9B88-F4E862B33C0E}"/>
    <cellStyle name="Normal" xfId="0" builtinId="0"/>
    <cellStyle name="Normal 4" xfId="1" xr:uid="{F7DF06E8-FD43-4614-9FDF-A67ED9426185}"/>
    <cellStyle name="Percent" xfId="3" builtinId="5"/>
  </cellStyles>
  <dxfs count="0"/>
  <tableStyles count="0" defaultTableStyle="TableStyleMedium2" defaultPivotStyle="PivotStyleLight16"/>
  <colors>
    <mruColors>
      <color rgb="FF7990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552048249918254E-2"/>
          <c:y val="3.9459608430188031E-2"/>
          <c:w val="0.94321961065398452"/>
          <c:h val="0.76706993143660007"/>
        </c:manualLayout>
      </c:layout>
      <c:lineChart>
        <c:grouping val="standard"/>
        <c:varyColors val="0"/>
        <c:ser>
          <c:idx val="0"/>
          <c:order val="0"/>
          <c:tx>
            <c:v>Gross Profit</c:v>
          </c:tx>
          <c:spPr>
            <a:ln w="25400" cap="rnd">
              <a:solidFill>
                <a:srgbClr val="26323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Quarts!$AO$2:$AY$2</c:f>
              <c:strCache>
                <c:ptCount val="11"/>
                <c:pt idx="0">
                  <c:v>Q1 21</c:v>
                </c:pt>
                <c:pt idx="1">
                  <c:v>Q2 21</c:v>
                </c:pt>
                <c:pt idx="2">
                  <c:v>Q3 21</c:v>
                </c:pt>
                <c:pt idx="3">
                  <c:v>Q4 21</c:v>
                </c:pt>
                <c:pt idx="4">
                  <c:v>Q1 22</c:v>
                </c:pt>
                <c:pt idx="5">
                  <c:v>Q2 22</c:v>
                </c:pt>
                <c:pt idx="6">
                  <c:v>Q3 22</c:v>
                </c:pt>
                <c:pt idx="7">
                  <c:v>Q4 22</c:v>
                </c:pt>
                <c:pt idx="8">
                  <c:v>Q1 23</c:v>
                </c:pt>
                <c:pt idx="9">
                  <c:v>Q2 23</c:v>
                </c:pt>
                <c:pt idx="10">
                  <c:v>Q3 23</c:v>
                </c:pt>
              </c:strCache>
            </c:strRef>
          </c:cat>
          <c:val>
            <c:numRef>
              <c:f>Quarts!$AO$79:$AY$79</c:f>
              <c:numCache>
                <c:formatCode>0%</c:formatCode>
                <c:ptCount val="11"/>
                <c:pt idx="0">
                  <c:v>1.1147973095800761</c:v>
                </c:pt>
                <c:pt idx="1">
                  <c:v>1.933263906968671</c:v>
                </c:pt>
                <c:pt idx="2">
                  <c:v>1.0404004502102957</c:v>
                </c:pt>
                <c:pt idx="3">
                  <c:v>0.88177244582043324</c:v>
                </c:pt>
                <c:pt idx="4">
                  <c:v>0.87389865474706685</c:v>
                </c:pt>
                <c:pt idx="5">
                  <c:v>0.46745562130177531</c:v>
                </c:pt>
                <c:pt idx="6">
                  <c:v>0.56404598769016356</c:v>
                </c:pt>
                <c:pt idx="7">
                  <c:v>0.41645244215938315</c:v>
                </c:pt>
                <c:pt idx="8">
                  <c:v>0.41743119266055051</c:v>
                </c:pt>
                <c:pt idx="9">
                  <c:v>0.42540322580645196</c:v>
                </c:pt>
                <c:pt idx="10">
                  <c:v>0.38290763290763286</c:v>
                </c:pt>
              </c:numCache>
            </c:numRef>
          </c:val>
          <c:smooth val="0"/>
          <c:extLst>
            <c:ext xmlns:c16="http://schemas.microsoft.com/office/drawing/2014/chart" uri="{C3380CC4-5D6E-409C-BE32-E72D297353CC}">
              <c16:uniqueId val="{00000000-A727-4E09-A365-DE32A9B18CD4}"/>
            </c:ext>
          </c:extLst>
        </c:ser>
        <c:ser>
          <c:idx val="1"/>
          <c:order val="1"/>
          <c:tx>
            <c:v>Revenue</c:v>
          </c:tx>
          <c:spPr>
            <a:ln w="25400" cap="rnd">
              <a:solidFill>
                <a:srgbClr val="79909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Quarts!$AO$2:$AY$2</c:f>
              <c:strCache>
                <c:ptCount val="11"/>
                <c:pt idx="0">
                  <c:v>Q1 21</c:v>
                </c:pt>
                <c:pt idx="1">
                  <c:v>Q2 21</c:v>
                </c:pt>
                <c:pt idx="2">
                  <c:v>Q3 21</c:v>
                </c:pt>
                <c:pt idx="3">
                  <c:v>Q4 21</c:v>
                </c:pt>
                <c:pt idx="4">
                  <c:v>Q1 22</c:v>
                </c:pt>
                <c:pt idx="5">
                  <c:v>Q2 22</c:v>
                </c:pt>
                <c:pt idx="6">
                  <c:v>Q3 22</c:v>
                </c:pt>
                <c:pt idx="7">
                  <c:v>Q4 22</c:v>
                </c:pt>
                <c:pt idx="8">
                  <c:v>Q1 23</c:v>
                </c:pt>
                <c:pt idx="9">
                  <c:v>Q2 23</c:v>
                </c:pt>
                <c:pt idx="10">
                  <c:v>Q3 23</c:v>
                </c:pt>
              </c:strCache>
            </c:strRef>
          </c:cat>
          <c:val>
            <c:numRef>
              <c:f>Quarts!$AO$35:$AY$35</c:f>
              <c:numCache>
                <c:formatCode>0%</c:formatCode>
                <c:ptCount val="11"/>
                <c:pt idx="0">
                  <c:v>1.2370658516254514</c:v>
                </c:pt>
                <c:pt idx="1">
                  <c:v>1.8578348268345848</c:v>
                </c:pt>
                <c:pt idx="2">
                  <c:v>1.2236628849270663</c:v>
                </c:pt>
                <c:pt idx="3">
                  <c:v>1.2018295674256199</c:v>
                </c:pt>
                <c:pt idx="4">
                  <c:v>1.1735890302066774</c:v>
                </c:pt>
                <c:pt idx="5">
                  <c:v>0.71525423728813564</c:v>
                </c:pt>
                <c:pt idx="6">
                  <c:v>0.63119533527696814</c:v>
                </c:pt>
                <c:pt idx="7">
                  <c:v>0.5517693315858454</c:v>
                </c:pt>
                <c:pt idx="8">
                  <c:v>0.56914285714285717</c:v>
                </c:pt>
                <c:pt idx="9">
                  <c:v>0.59189723320158083</c:v>
                </c:pt>
                <c:pt idx="10">
                  <c:v>0.46470062555853442</c:v>
                </c:pt>
              </c:numCache>
            </c:numRef>
          </c:val>
          <c:smooth val="0"/>
          <c:extLst>
            <c:ext xmlns:c16="http://schemas.microsoft.com/office/drawing/2014/chart" uri="{C3380CC4-5D6E-409C-BE32-E72D297353CC}">
              <c16:uniqueId val="{00000001-A727-4E09-A365-DE32A9B18CD4}"/>
            </c:ext>
          </c:extLst>
        </c:ser>
        <c:dLbls>
          <c:showLegendKey val="0"/>
          <c:showVal val="0"/>
          <c:showCatName val="0"/>
          <c:showSerName val="0"/>
          <c:showPercent val="0"/>
          <c:showBubbleSize val="0"/>
        </c:dLbls>
        <c:smooth val="0"/>
        <c:axId val="654121056"/>
        <c:axId val="661284720"/>
      </c:lineChart>
      <c:catAx>
        <c:axId val="654121056"/>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661284720"/>
        <c:crosses val="autoZero"/>
        <c:auto val="1"/>
        <c:lblAlgn val="ctr"/>
        <c:lblOffset val="100"/>
        <c:noMultiLvlLbl val="0"/>
      </c:catAx>
      <c:valAx>
        <c:axId val="661284720"/>
        <c:scaling>
          <c:orientation val="minMax"/>
        </c:scaling>
        <c:delete val="1"/>
        <c:axPos val="l"/>
        <c:numFmt formatCode="0%" sourceLinked="1"/>
        <c:majorTickMark val="out"/>
        <c:minorTickMark val="none"/>
        <c:tickLblPos val="nextTo"/>
        <c:crossAx val="65412105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Analysis!$B$118</c:f>
              <c:strCache>
                <c:ptCount val="1"/>
                <c:pt idx="0">
                  <c:v>E-Comm as % Retail</c:v>
                </c:pt>
              </c:strCache>
            </c:strRef>
          </c:tx>
          <c:spPr>
            <a:ln w="25400" cap="rnd">
              <a:solidFill>
                <a:srgbClr val="333399"/>
              </a:solidFill>
              <a:prstDash val="solid"/>
              <a:round/>
            </a:ln>
            <a:effectLst/>
          </c:spPr>
          <c:marker>
            <c:symbol val="none"/>
          </c:marker>
          <c:cat>
            <c:numRef>
              <c:f>Analysis!$E$117:$O$117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Analysis!$E$118:$O$118</c:f>
              <c:numCache>
                <c:formatCode>0%</c:formatCode>
                <c:ptCount val="11"/>
                <c:pt idx="0">
                  <c:v>0.06</c:v>
                </c:pt>
                <c:pt idx="1">
                  <c:v>7.0000000000000007E-2</c:v>
                </c:pt>
                <c:pt idx="2">
                  <c:v>0.08</c:v>
                </c:pt>
                <c:pt idx="3">
                  <c:v>0.09</c:v>
                </c:pt>
                <c:pt idx="4">
                  <c:v>9.9999999999999992E-2</c:v>
                </c:pt>
                <c:pt idx="5">
                  <c:v>0.10999999999999999</c:v>
                </c:pt>
                <c:pt idx="6">
                  <c:v>0.11999999999999998</c:v>
                </c:pt>
                <c:pt idx="7">
                  <c:v>0.12999999999999998</c:v>
                </c:pt>
                <c:pt idx="8">
                  <c:v>0.13999999999999999</c:v>
                </c:pt>
                <c:pt idx="9">
                  <c:v>0.15</c:v>
                </c:pt>
                <c:pt idx="10">
                  <c:v>0.16</c:v>
                </c:pt>
              </c:numCache>
            </c:numRef>
          </c:val>
          <c:smooth val="0"/>
          <c:extLst>
            <c:ext xmlns:c16="http://schemas.microsoft.com/office/drawing/2014/chart" uri="{C3380CC4-5D6E-409C-BE32-E72D297353CC}">
              <c16:uniqueId val="{00000000-A391-4982-AC45-5E69FCB36E0D}"/>
            </c:ext>
          </c:extLst>
        </c:ser>
        <c:ser>
          <c:idx val="1"/>
          <c:order val="1"/>
          <c:tx>
            <c:strRef>
              <c:f>Analysis!$B$119</c:f>
              <c:strCache>
                <c:ptCount val="1"/>
                <c:pt idx="0">
                  <c:v>Cross-border as % Pay-In</c:v>
                </c:pt>
              </c:strCache>
            </c:strRef>
          </c:tx>
          <c:spPr>
            <a:ln w="25400" cap="rnd">
              <a:solidFill>
                <a:srgbClr val="99CCFF"/>
              </a:solidFill>
              <a:prstDash val="solid"/>
              <a:round/>
            </a:ln>
            <a:effectLst/>
          </c:spPr>
          <c:marker>
            <c:symbol val="none"/>
          </c:marker>
          <c:cat>
            <c:numRef>
              <c:f>Analysis!$E$117:$O$117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Analysis!$E$119:$O$119</c:f>
              <c:numCache>
                <c:formatCode>0%</c:formatCode>
                <c:ptCount val="11"/>
                <c:pt idx="0">
                  <c:v>0.14157303370786517</c:v>
                </c:pt>
                <c:pt idx="1">
                  <c:v>0.14657303370786517</c:v>
                </c:pt>
                <c:pt idx="2">
                  <c:v>0.15157303370786518</c:v>
                </c:pt>
                <c:pt idx="3">
                  <c:v>0.15657303370786518</c:v>
                </c:pt>
                <c:pt idx="4">
                  <c:v>0.16157303370786519</c:v>
                </c:pt>
                <c:pt idx="5">
                  <c:v>0.16657303370786519</c:v>
                </c:pt>
                <c:pt idx="6">
                  <c:v>0.1715730337078652</c:v>
                </c:pt>
                <c:pt idx="7">
                  <c:v>0.1765730337078652</c:v>
                </c:pt>
                <c:pt idx="8">
                  <c:v>0.18157303370786521</c:v>
                </c:pt>
                <c:pt idx="9">
                  <c:v>0.18657303370786521</c:v>
                </c:pt>
                <c:pt idx="10">
                  <c:v>0.19157303370786521</c:v>
                </c:pt>
              </c:numCache>
            </c:numRef>
          </c:val>
          <c:smooth val="0"/>
          <c:extLst>
            <c:ext xmlns:c16="http://schemas.microsoft.com/office/drawing/2014/chart" uri="{C3380CC4-5D6E-409C-BE32-E72D297353CC}">
              <c16:uniqueId val="{00000001-A391-4982-AC45-5E69FCB36E0D}"/>
            </c:ext>
          </c:extLst>
        </c:ser>
        <c:dLbls>
          <c:showLegendKey val="0"/>
          <c:showVal val="0"/>
          <c:showCatName val="0"/>
          <c:showSerName val="0"/>
          <c:showPercent val="0"/>
          <c:showBubbleSize val="0"/>
        </c:dLbls>
        <c:smooth val="0"/>
        <c:axId val="764269120"/>
        <c:axId val="764269448"/>
      </c:lineChart>
      <c:catAx>
        <c:axId val="764269120"/>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764269448"/>
        <c:crosses val="autoZero"/>
        <c:auto val="1"/>
        <c:lblAlgn val="ctr"/>
        <c:lblOffset val="100"/>
        <c:noMultiLvlLbl val="0"/>
      </c:catAx>
      <c:valAx>
        <c:axId val="764269448"/>
        <c:scaling>
          <c:orientation val="minMax"/>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764269120"/>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Analysis!$B$122</c:f>
              <c:strCache>
                <c:ptCount val="1"/>
                <c:pt idx="0">
                  <c:v>dLocal TPV as % EM Pay-in</c:v>
                </c:pt>
              </c:strCache>
            </c:strRef>
          </c:tx>
          <c:spPr>
            <a:ln w="25400" cap="rnd">
              <a:solidFill>
                <a:srgbClr val="333399"/>
              </a:solidFill>
              <a:prstDash val="solid"/>
              <a:round/>
            </a:ln>
            <a:effectLst/>
          </c:spPr>
          <c:marker>
            <c:symbol val="none"/>
          </c:marker>
          <c:cat>
            <c:numRef>
              <c:f>Analysis!$E$117:$O$117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Analysis!$E$122:$O$122</c:f>
              <c:numCache>
                <c:formatCode>0.0%</c:formatCode>
                <c:ptCount val="11"/>
                <c:pt idx="0">
                  <c:v>2.7168539325842698E-3</c:v>
                </c:pt>
                <c:pt idx="1">
                  <c:v>7.2353713702028302E-3</c:v>
                </c:pt>
                <c:pt idx="2">
                  <c:v>1.1216093519464305E-2</c:v>
                </c:pt>
                <c:pt idx="3">
                  <c:v>1.4936436076677436E-2</c:v>
                </c:pt>
                <c:pt idx="4">
                  <c:v>1.8436436076677436E-2</c:v>
                </c:pt>
                <c:pt idx="5">
                  <c:v>2.1736436076677437E-2</c:v>
                </c:pt>
                <c:pt idx="6">
                  <c:v>2.4236436076677435E-2</c:v>
                </c:pt>
                <c:pt idx="7">
                  <c:v>2.6736436076677434E-2</c:v>
                </c:pt>
                <c:pt idx="8">
                  <c:v>2.7986436076677435E-2</c:v>
                </c:pt>
                <c:pt idx="9">
                  <c:v>2.8986436076677436E-2</c:v>
                </c:pt>
                <c:pt idx="10">
                  <c:v>2.9986436076677437E-2</c:v>
                </c:pt>
              </c:numCache>
            </c:numRef>
          </c:val>
          <c:smooth val="0"/>
          <c:extLst>
            <c:ext xmlns:c16="http://schemas.microsoft.com/office/drawing/2014/chart" uri="{C3380CC4-5D6E-409C-BE32-E72D297353CC}">
              <c16:uniqueId val="{00000000-D72C-4A3F-9943-1CA82595E131}"/>
            </c:ext>
          </c:extLst>
        </c:ser>
        <c:ser>
          <c:idx val="1"/>
          <c:order val="1"/>
          <c:tx>
            <c:strRef>
              <c:f>Analysis!$B$123</c:f>
              <c:strCache>
                <c:ptCount val="1"/>
                <c:pt idx="0">
                  <c:v>dLocal TPV as % EM X-border Pay-in</c:v>
                </c:pt>
              </c:strCache>
            </c:strRef>
          </c:tx>
          <c:spPr>
            <a:ln w="25400" cap="rnd">
              <a:solidFill>
                <a:srgbClr val="99CCFF"/>
              </a:solidFill>
              <a:prstDash val="solid"/>
              <a:round/>
            </a:ln>
            <a:effectLst/>
          </c:spPr>
          <c:marker>
            <c:symbol val="none"/>
          </c:marker>
          <c:cat>
            <c:numRef>
              <c:f>Analysis!$E$117:$O$117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Analysis!$E$123:$O$123</c:f>
              <c:numCache>
                <c:formatCode>0.0%</c:formatCode>
                <c:ptCount val="11"/>
                <c:pt idx="0">
                  <c:v>1.3433333333333334E-2</c:v>
                </c:pt>
                <c:pt idx="1">
                  <c:v>3.3320424305476035E-2</c:v>
                </c:pt>
                <c:pt idx="2">
                  <c:v>4.8098666427057811E-2</c:v>
                </c:pt>
                <c:pt idx="3">
                  <c:v>5.9622479853977908E-2</c:v>
                </c:pt>
                <c:pt idx="4">
                  <c:v>6.8463538699205476E-2</c:v>
                </c:pt>
                <c:pt idx="5">
                  <c:v>7.5032857755410937E-2</c:v>
                </c:pt>
                <c:pt idx="6">
                  <c:v>7.7693094037548135E-2</c:v>
                </c:pt>
                <c:pt idx="7">
                  <c:v>7.9494748691234643E-2</c:v>
                </c:pt>
                <c:pt idx="8">
                  <c:v>7.7066609245801068E-2</c:v>
                </c:pt>
                <c:pt idx="9">
                  <c:v>7.3797144543302481E-2</c:v>
                </c:pt>
                <c:pt idx="10">
                  <c:v>7.0437346913251042E-2</c:v>
                </c:pt>
              </c:numCache>
            </c:numRef>
          </c:val>
          <c:smooth val="0"/>
          <c:extLst>
            <c:ext xmlns:c16="http://schemas.microsoft.com/office/drawing/2014/chart" uri="{C3380CC4-5D6E-409C-BE32-E72D297353CC}">
              <c16:uniqueId val="{00000001-D72C-4A3F-9943-1CA82595E131}"/>
            </c:ext>
          </c:extLst>
        </c:ser>
        <c:ser>
          <c:idx val="2"/>
          <c:order val="2"/>
          <c:tx>
            <c:strRef>
              <c:f>Analysis!$B$124</c:f>
              <c:strCache>
                <c:ptCount val="1"/>
                <c:pt idx="0">
                  <c:v>dLocal LatAm TPV as % LatAm Pay-in</c:v>
                </c:pt>
              </c:strCache>
            </c:strRef>
          </c:tx>
          <c:spPr>
            <a:ln w="25400" cap="rnd">
              <a:solidFill>
                <a:srgbClr val="333399"/>
              </a:solidFill>
              <a:prstDash val="lgDash"/>
              <a:round/>
            </a:ln>
            <a:effectLst/>
          </c:spPr>
          <c:marker>
            <c:symbol val="none"/>
          </c:marker>
          <c:cat>
            <c:numRef>
              <c:f>Analysis!$E$117:$O$117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Analysis!$E$124:$O$124</c:f>
              <c:numCache>
                <c:formatCode>0.0%</c:formatCode>
                <c:ptCount val="11"/>
                <c:pt idx="0">
                  <c:v>5.1325471698113207E-3</c:v>
                </c:pt>
                <c:pt idx="1">
                  <c:v>1.3516834109286936E-2</c:v>
                </c:pt>
                <c:pt idx="2">
                  <c:v>2.0718029350104819E-2</c:v>
                </c:pt>
                <c:pt idx="3">
                  <c:v>2.7276609561724851E-2</c:v>
                </c:pt>
                <c:pt idx="4">
                  <c:v>3.3281245691247421E-2</c:v>
                </c:pt>
                <c:pt idx="5">
                  <c:v>3.8782108235864331E-2</c:v>
                </c:pt>
                <c:pt idx="6">
                  <c:v>4.2733867006896339E-2</c:v>
                </c:pt>
                <c:pt idx="7">
                  <c:v>4.6580672947739661E-2</c:v>
                </c:pt>
                <c:pt idx="8">
                  <c:v>4.8170993039526384E-2</c:v>
                </c:pt>
                <c:pt idx="9">
                  <c:v>4.9283777753954615E-2</c:v>
                </c:pt>
                <c:pt idx="10">
                  <c:v>5.035458133630738E-2</c:v>
                </c:pt>
              </c:numCache>
            </c:numRef>
          </c:val>
          <c:smooth val="0"/>
          <c:extLst>
            <c:ext xmlns:c16="http://schemas.microsoft.com/office/drawing/2014/chart" uri="{C3380CC4-5D6E-409C-BE32-E72D297353CC}">
              <c16:uniqueId val="{00000002-D72C-4A3F-9943-1CA82595E131}"/>
            </c:ext>
          </c:extLst>
        </c:ser>
        <c:ser>
          <c:idx val="3"/>
          <c:order val="3"/>
          <c:tx>
            <c:strRef>
              <c:f>Analysis!$B$125</c:f>
              <c:strCache>
                <c:ptCount val="1"/>
                <c:pt idx="0">
                  <c:v>dLocal LatAm TPV as % LatAm X-Border Pay-in</c:v>
                </c:pt>
              </c:strCache>
            </c:strRef>
          </c:tx>
          <c:spPr>
            <a:ln w="25400" cap="rnd">
              <a:solidFill>
                <a:srgbClr val="99CCFF"/>
              </a:solidFill>
              <a:prstDash val="lgDash"/>
              <a:round/>
            </a:ln>
            <a:effectLst/>
          </c:spPr>
          <c:marker>
            <c:symbol val="none"/>
          </c:marker>
          <c:cat>
            <c:numRef>
              <c:f>Analysis!$E$117:$O$117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Analysis!$E$125:$O$125</c:f>
              <c:numCache>
                <c:formatCode>0.0%</c:formatCode>
                <c:ptCount val="11"/>
                <c:pt idx="0">
                  <c:v>2.6631818181818184E-2</c:v>
                </c:pt>
                <c:pt idx="1">
                  <c:v>6.5214395180005394E-2</c:v>
                </c:pt>
                <c:pt idx="2">
                  <c:v>9.2934389467592554E-2</c:v>
                </c:pt>
                <c:pt idx="3">
                  <c:v>0.11372406440933108</c:v>
                </c:pt>
                <c:pt idx="4">
                  <c:v>0.12890908806110446</c:v>
                </c:pt>
                <c:pt idx="5">
                  <c:v>0.13945542755020238</c:v>
                </c:pt>
                <c:pt idx="6">
                  <c:v>0.14252771433078121</c:v>
                </c:pt>
                <c:pt idx="7">
                  <c:v>0.14393195166805725</c:v>
                </c:pt>
                <c:pt idx="8">
                  <c:v>0.1377056435326266</c:v>
                </c:pt>
                <c:pt idx="9">
                  <c:v>0.13012261195131691</c:v>
                </c:pt>
                <c:pt idx="10">
                  <c:v>0.122546608660299</c:v>
                </c:pt>
              </c:numCache>
            </c:numRef>
          </c:val>
          <c:smooth val="0"/>
          <c:extLst>
            <c:ext xmlns:c16="http://schemas.microsoft.com/office/drawing/2014/chart" uri="{C3380CC4-5D6E-409C-BE32-E72D297353CC}">
              <c16:uniqueId val="{00000003-D72C-4A3F-9943-1CA82595E131}"/>
            </c:ext>
          </c:extLst>
        </c:ser>
        <c:dLbls>
          <c:showLegendKey val="0"/>
          <c:showVal val="0"/>
          <c:showCatName val="0"/>
          <c:showSerName val="0"/>
          <c:showPercent val="0"/>
          <c:showBubbleSize val="0"/>
        </c:dLbls>
        <c:smooth val="0"/>
        <c:axId val="399211808"/>
        <c:axId val="399217056"/>
      </c:lineChart>
      <c:catAx>
        <c:axId val="39921180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399217056"/>
        <c:crosses val="autoZero"/>
        <c:auto val="1"/>
        <c:lblAlgn val="ctr"/>
        <c:lblOffset val="100"/>
        <c:noMultiLvlLbl val="0"/>
      </c:catAx>
      <c:valAx>
        <c:axId val="399217056"/>
        <c:scaling>
          <c:orientation val="minMax"/>
        </c:scaling>
        <c:delete val="0"/>
        <c:axPos val="l"/>
        <c:majorGridlines>
          <c:spPr>
            <a:ln w="3175" cap="flat" cmpd="sng" algn="ctr">
              <a:solidFill>
                <a:srgbClr val="C0C0C0"/>
              </a:solidFill>
              <a:prstDash val="solid"/>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399211808"/>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Analysis!$B$128</c:f>
              <c:strCache>
                <c:ptCount val="1"/>
                <c:pt idx="0">
                  <c:v>dLocal TPV share of Pay-out (LHS)</c:v>
                </c:pt>
              </c:strCache>
            </c:strRef>
          </c:tx>
          <c:spPr>
            <a:solidFill>
              <a:srgbClr val="000080"/>
            </a:solidFill>
            <a:ln w="25400">
              <a:noFill/>
            </a:ln>
            <a:effectLst/>
          </c:spPr>
          <c:invertIfNegative val="0"/>
          <c:cat>
            <c:numRef>
              <c:f>Analysis!$E$117:$O$117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Analysis!$E$128:$O$128</c:f>
              <c:numCache>
                <c:formatCode>0.0%</c:formatCode>
                <c:ptCount val="11"/>
                <c:pt idx="0">
                  <c:v>9.4643734643734643E-4</c:v>
                </c:pt>
                <c:pt idx="1">
                  <c:v>1.6122944622944623E-3</c:v>
                </c:pt>
                <c:pt idx="2">
                  <c:v>1.6391776391776391E-3</c:v>
                </c:pt>
                <c:pt idx="3">
                  <c:v>2.2036799814577593E-3</c:v>
                </c:pt>
                <c:pt idx="4">
                  <c:v>2.4048386282360746E-3</c:v>
                </c:pt>
                <c:pt idx="5">
                  <c:v>2.5760569268440223E-3</c:v>
                </c:pt>
                <c:pt idx="6">
                  <c:v>2.6906177983997879E-3</c:v>
                </c:pt>
                <c:pt idx="7">
                  <c:v>2.7599968603432504E-3</c:v>
                </c:pt>
                <c:pt idx="8">
                  <c:v>2.6695146048573335E-3</c:v>
                </c:pt>
                <c:pt idx="9">
                  <c:v>2.540830953587364E-3</c:v>
                </c:pt>
                <c:pt idx="10">
                  <c:v>2.4038546854905597E-3</c:v>
                </c:pt>
              </c:numCache>
            </c:numRef>
          </c:val>
          <c:extLst>
            <c:ext xmlns:c16="http://schemas.microsoft.com/office/drawing/2014/chart" uri="{C3380CC4-5D6E-409C-BE32-E72D297353CC}">
              <c16:uniqueId val="{00000001-3FA4-48ED-9870-C0FF341DB53E}"/>
            </c:ext>
          </c:extLst>
        </c:ser>
        <c:dLbls>
          <c:showLegendKey val="0"/>
          <c:showVal val="0"/>
          <c:showCatName val="0"/>
          <c:showSerName val="0"/>
          <c:showPercent val="0"/>
          <c:showBubbleSize val="0"/>
        </c:dLbls>
        <c:gapWidth val="150"/>
        <c:axId val="399211808"/>
        <c:axId val="399217056"/>
      </c:barChart>
      <c:lineChart>
        <c:grouping val="standard"/>
        <c:varyColors val="0"/>
        <c:ser>
          <c:idx val="0"/>
          <c:order val="0"/>
          <c:tx>
            <c:strRef>
              <c:f>Analysis!$B$127</c:f>
              <c:strCache>
                <c:ptCount val="1"/>
                <c:pt idx="0">
                  <c:v>dLocal TPV share of Pay-out (ex freelance/remittances)</c:v>
                </c:pt>
              </c:strCache>
            </c:strRef>
          </c:tx>
          <c:spPr>
            <a:ln w="25400" cap="rnd">
              <a:solidFill>
                <a:srgbClr val="000080"/>
              </a:solidFill>
              <a:prstDash val="solid"/>
              <a:round/>
            </a:ln>
            <a:effectLst/>
          </c:spPr>
          <c:marker>
            <c:symbol val="none"/>
          </c:marker>
          <c:cat>
            <c:numRef>
              <c:f>Analysis!$E$117:$O$117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Analysis!$E$127:$O$127</c:f>
              <c:numCache>
                <c:formatCode>0.0%</c:formatCode>
                <c:ptCount val="11"/>
                <c:pt idx="0">
                  <c:v>0.12228571428571429</c:v>
                </c:pt>
                <c:pt idx="1">
                  <c:v>0.21065934065934067</c:v>
                </c:pt>
                <c:pt idx="2">
                  <c:v>0.21660561660561661</c:v>
                </c:pt>
                <c:pt idx="3">
                  <c:v>0.29454770195510938</c:v>
                </c:pt>
                <c:pt idx="4">
                  <c:v>0.32517253212361535</c:v>
                </c:pt>
                <c:pt idx="5">
                  <c:v>0.35242190562202258</c:v>
                </c:pt>
                <c:pt idx="6">
                  <c:v>0.37247668161520869</c:v>
                </c:pt>
                <c:pt idx="7">
                  <c:v>0.38668458594137789</c:v>
                </c:pt>
                <c:pt idx="8">
                  <c:v>0.37856879588046499</c:v>
                </c:pt>
                <c:pt idx="9">
                  <c:v>0.36476832384834468</c:v>
                </c:pt>
                <c:pt idx="10">
                  <c:v>0.34941744892666349</c:v>
                </c:pt>
              </c:numCache>
            </c:numRef>
          </c:val>
          <c:smooth val="0"/>
          <c:extLst>
            <c:ext xmlns:c16="http://schemas.microsoft.com/office/drawing/2014/chart" uri="{C3380CC4-5D6E-409C-BE32-E72D297353CC}">
              <c16:uniqueId val="{00000000-3FA4-48ED-9870-C0FF341DB53E}"/>
            </c:ext>
          </c:extLst>
        </c:ser>
        <c:dLbls>
          <c:showLegendKey val="0"/>
          <c:showVal val="0"/>
          <c:showCatName val="0"/>
          <c:showSerName val="0"/>
          <c:showPercent val="0"/>
          <c:showBubbleSize val="0"/>
        </c:dLbls>
        <c:marker val="1"/>
        <c:smooth val="0"/>
        <c:axId val="1146522896"/>
        <c:axId val="1146529784"/>
      </c:lineChart>
      <c:catAx>
        <c:axId val="39921180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399217056"/>
        <c:crosses val="autoZero"/>
        <c:auto val="1"/>
        <c:lblAlgn val="ctr"/>
        <c:lblOffset val="100"/>
        <c:noMultiLvlLbl val="0"/>
      </c:catAx>
      <c:valAx>
        <c:axId val="399217056"/>
        <c:scaling>
          <c:orientation val="minMax"/>
        </c:scaling>
        <c:delete val="0"/>
        <c:axPos val="l"/>
        <c:majorGridlines>
          <c:spPr>
            <a:ln w="3175" cap="flat" cmpd="sng" algn="ctr">
              <a:solidFill>
                <a:srgbClr val="C0C0C0"/>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r>
                  <a:rPr lang="en-GB"/>
                  <a:t>Share of Pay-out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title>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399211808"/>
        <c:crosses val="autoZero"/>
        <c:crossBetween val="between"/>
      </c:valAx>
      <c:valAx>
        <c:axId val="11465297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r>
                  <a:rPr lang="en-US"/>
                  <a:t>Share of Pay-out TAM (ex freelance, remittances)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146522896"/>
        <c:crosses val="max"/>
        <c:crossBetween val="between"/>
      </c:valAx>
      <c:catAx>
        <c:axId val="1146522896"/>
        <c:scaling>
          <c:orientation val="minMax"/>
        </c:scaling>
        <c:delete val="1"/>
        <c:axPos val="b"/>
        <c:numFmt formatCode="General" sourceLinked="1"/>
        <c:majorTickMark val="out"/>
        <c:minorTickMark val="none"/>
        <c:tickLblPos val="nextTo"/>
        <c:crossAx val="1146529784"/>
        <c:crosses val="autoZero"/>
        <c:auto val="1"/>
        <c:lblAlgn val="ctr"/>
        <c:lblOffset val="100"/>
        <c:noMultiLvlLbl val="0"/>
      </c:cat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cat>
            <c:numRef>
              <c:f>Analysis!$E$149:$O$149</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Analysis!$E$150:$O$150</c:f>
              <c:numCache>
                <c:formatCode>0%</c:formatCode>
                <c:ptCount val="11"/>
                <c:pt idx="0">
                  <c:v>0.06</c:v>
                </c:pt>
                <c:pt idx="1">
                  <c:v>0.10171120366298471</c:v>
                </c:pt>
                <c:pt idx="2">
                  <c:v>0.12511690630908331</c:v>
                </c:pt>
                <c:pt idx="3">
                  <c:v>0.15613886640249994</c:v>
                </c:pt>
                <c:pt idx="4">
                  <c:v>0.1901455099244827</c:v>
                </c:pt>
                <c:pt idx="5">
                  <c:v>0.21807652167694425</c:v>
                </c:pt>
                <c:pt idx="6">
                  <c:v>0.24447794022358191</c:v>
                </c:pt>
                <c:pt idx="7">
                  <c:v>0.27486586801297197</c:v>
                </c:pt>
                <c:pt idx="8">
                  <c:v>0.3041972353228245</c:v>
                </c:pt>
                <c:pt idx="9">
                  <c:v>0.33105927586179457</c:v>
                </c:pt>
                <c:pt idx="10">
                  <c:v>0.3534845499962716</c:v>
                </c:pt>
              </c:numCache>
            </c:numRef>
          </c:val>
          <c:extLst>
            <c:ext xmlns:c16="http://schemas.microsoft.com/office/drawing/2014/chart" uri="{C3380CC4-5D6E-409C-BE32-E72D297353CC}">
              <c16:uniqueId val="{00000000-D887-4064-8813-621593BFCEAD}"/>
            </c:ext>
          </c:extLst>
        </c:ser>
        <c:dLbls>
          <c:showLegendKey val="0"/>
          <c:showVal val="0"/>
          <c:showCatName val="0"/>
          <c:showSerName val="0"/>
          <c:showPercent val="0"/>
          <c:showBubbleSize val="0"/>
        </c:dLbls>
        <c:gapWidth val="219"/>
        <c:overlap val="-27"/>
        <c:axId val="1058078288"/>
        <c:axId val="1058075336"/>
      </c:barChart>
      <c:catAx>
        <c:axId val="105807828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058075336"/>
        <c:crosses val="autoZero"/>
        <c:auto val="1"/>
        <c:lblAlgn val="ctr"/>
        <c:lblOffset val="100"/>
        <c:noMultiLvlLbl val="0"/>
      </c:catAx>
      <c:valAx>
        <c:axId val="1058075336"/>
        <c:scaling>
          <c:orientation val="minMax"/>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058078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Analysis!$C$58</c:f>
              <c:strCache>
                <c:ptCount val="1"/>
                <c:pt idx="0">
                  <c:v>Pay-In</c:v>
                </c:pt>
              </c:strCache>
            </c:strRef>
          </c:tx>
          <c:spPr>
            <a:solidFill>
              <a:srgbClr val="000080"/>
            </a:solidFill>
            <a:ln w="25400">
              <a:noFill/>
            </a:ln>
            <a:effectLst/>
          </c:spPr>
          <c:invertIfNegative val="0"/>
          <c:cat>
            <c:strRef>
              <c:f>Analysis!$B$59:$B$61</c:f>
              <c:strCache>
                <c:ptCount val="3"/>
                <c:pt idx="0">
                  <c:v>2019</c:v>
                </c:pt>
                <c:pt idx="1">
                  <c:v>2020</c:v>
                </c:pt>
                <c:pt idx="2">
                  <c:v>&gt;2021</c:v>
                </c:pt>
              </c:strCache>
            </c:strRef>
          </c:cat>
          <c:val>
            <c:numRef>
              <c:f>Analysis!$C$59:$C$61</c:f>
              <c:numCache>
                <c:formatCode>General</c:formatCode>
                <c:ptCount val="3"/>
                <c:pt idx="0">
                  <c:v>40</c:v>
                </c:pt>
                <c:pt idx="1">
                  <c:v>60</c:v>
                </c:pt>
                <c:pt idx="2">
                  <c:v>50</c:v>
                </c:pt>
              </c:numCache>
            </c:numRef>
          </c:val>
          <c:extLst>
            <c:ext xmlns:c16="http://schemas.microsoft.com/office/drawing/2014/chart" uri="{C3380CC4-5D6E-409C-BE32-E72D297353CC}">
              <c16:uniqueId val="{00000000-0995-498F-A38A-0CB9BB8692FF}"/>
            </c:ext>
          </c:extLst>
        </c:ser>
        <c:ser>
          <c:idx val="1"/>
          <c:order val="1"/>
          <c:tx>
            <c:strRef>
              <c:f>Analysis!$D$58</c:f>
              <c:strCache>
                <c:ptCount val="1"/>
                <c:pt idx="0">
                  <c:v>Pay-out</c:v>
                </c:pt>
              </c:strCache>
            </c:strRef>
          </c:tx>
          <c:spPr>
            <a:solidFill>
              <a:srgbClr val="9999FF"/>
            </a:solidFill>
            <a:ln w="25400">
              <a:noFill/>
            </a:ln>
            <a:effectLst/>
          </c:spPr>
          <c:invertIfNegative val="0"/>
          <c:cat>
            <c:strRef>
              <c:f>Analysis!$B$59:$B$61</c:f>
              <c:strCache>
                <c:ptCount val="3"/>
                <c:pt idx="0">
                  <c:v>2019</c:v>
                </c:pt>
                <c:pt idx="1">
                  <c:v>2020</c:v>
                </c:pt>
                <c:pt idx="2">
                  <c:v>&gt;2021</c:v>
                </c:pt>
              </c:strCache>
            </c:strRef>
          </c:cat>
          <c:val>
            <c:numRef>
              <c:f>Analysis!$D$59:$D$61</c:f>
              <c:numCache>
                <c:formatCode>General</c:formatCode>
                <c:ptCount val="3"/>
                <c:pt idx="0">
                  <c:v>60</c:v>
                </c:pt>
                <c:pt idx="1">
                  <c:v>40</c:v>
                </c:pt>
                <c:pt idx="2">
                  <c:v>50</c:v>
                </c:pt>
              </c:numCache>
            </c:numRef>
          </c:val>
          <c:extLst>
            <c:ext xmlns:c16="http://schemas.microsoft.com/office/drawing/2014/chart" uri="{C3380CC4-5D6E-409C-BE32-E72D297353CC}">
              <c16:uniqueId val="{00000001-0995-498F-A38A-0CB9BB8692FF}"/>
            </c:ext>
          </c:extLst>
        </c:ser>
        <c:dLbls>
          <c:showLegendKey val="0"/>
          <c:showVal val="0"/>
          <c:showCatName val="0"/>
          <c:showSerName val="0"/>
          <c:showPercent val="0"/>
          <c:showBubbleSize val="0"/>
        </c:dLbls>
        <c:gapWidth val="219"/>
        <c:overlap val="100"/>
        <c:axId val="934710248"/>
        <c:axId val="934704344"/>
      </c:barChart>
      <c:catAx>
        <c:axId val="93471024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934704344"/>
        <c:crosses val="autoZero"/>
        <c:auto val="1"/>
        <c:lblAlgn val="ctr"/>
        <c:lblOffset val="100"/>
        <c:noMultiLvlLbl val="0"/>
      </c:catAx>
      <c:valAx>
        <c:axId val="934704344"/>
        <c:scaling>
          <c:orientation val="minMax"/>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934710248"/>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cat>
            <c:strRef>
              <c:f>Analysis!$B$171:$B$175</c:f>
              <c:strCache>
                <c:ptCount val="5"/>
                <c:pt idx="0">
                  <c:v>dLocal</c:v>
                </c:pt>
                <c:pt idx="1">
                  <c:v>PAGS</c:v>
                </c:pt>
                <c:pt idx="2">
                  <c:v>Stone</c:v>
                </c:pt>
                <c:pt idx="3">
                  <c:v>Cielo</c:v>
                </c:pt>
                <c:pt idx="4">
                  <c:v>Adyen</c:v>
                </c:pt>
              </c:strCache>
            </c:strRef>
          </c:cat>
          <c:val>
            <c:numRef>
              <c:f>Analysis!$C$171:$C$175</c:f>
              <c:numCache>
                <c:formatCode>0.0%</c:formatCode>
                <c:ptCount val="5"/>
                <c:pt idx="0">
                  <c:v>2.6233934550167405E-2</c:v>
                </c:pt>
                <c:pt idx="1">
                  <c:v>2.41E-2</c:v>
                </c:pt>
                <c:pt idx="2">
                  <c:v>1.8499999999999999E-2</c:v>
                </c:pt>
                <c:pt idx="3">
                  <c:v>7.3000000000000001E-3</c:v>
                </c:pt>
                <c:pt idx="4">
                  <c:v>2.2000000000000001E-3</c:v>
                </c:pt>
              </c:numCache>
            </c:numRef>
          </c:val>
          <c:extLst>
            <c:ext xmlns:c16="http://schemas.microsoft.com/office/drawing/2014/chart" uri="{C3380CC4-5D6E-409C-BE32-E72D297353CC}">
              <c16:uniqueId val="{00000000-1301-4FC6-87CD-EEF0FB7DDC75}"/>
            </c:ext>
          </c:extLst>
        </c:ser>
        <c:dLbls>
          <c:showLegendKey val="0"/>
          <c:showVal val="0"/>
          <c:showCatName val="0"/>
          <c:showSerName val="0"/>
          <c:showPercent val="0"/>
          <c:showBubbleSize val="0"/>
        </c:dLbls>
        <c:gapWidth val="219"/>
        <c:overlap val="-27"/>
        <c:axId val="810975352"/>
        <c:axId val="810974696"/>
      </c:barChart>
      <c:catAx>
        <c:axId val="8109753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10974696"/>
        <c:crosses val="autoZero"/>
        <c:auto val="1"/>
        <c:lblAlgn val="ctr"/>
        <c:lblOffset val="100"/>
        <c:noMultiLvlLbl val="0"/>
      </c:catAx>
      <c:valAx>
        <c:axId val="810974696"/>
        <c:scaling>
          <c:orientation val="minMax"/>
        </c:scaling>
        <c:delete val="0"/>
        <c:axPos val="l"/>
        <c:majorGridlines>
          <c:spPr>
            <a:ln w="3175" cap="flat" cmpd="sng" algn="ctr">
              <a:solidFill>
                <a:srgbClr val="C0C0C0"/>
              </a:solidFill>
              <a:prstDash val="solid"/>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1097535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Analysis!$C$177</c:f>
              <c:strCache>
                <c:ptCount val="1"/>
                <c:pt idx="0">
                  <c:v>Gross</c:v>
                </c:pt>
              </c:strCache>
            </c:strRef>
          </c:tx>
          <c:spPr>
            <a:solidFill>
              <a:srgbClr val="000080"/>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Analysis!$B$178:$B$182</c:f>
              <c:strCache>
                <c:ptCount val="5"/>
                <c:pt idx="0">
                  <c:v>Pay-in cross border</c:v>
                </c:pt>
                <c:pt idx="1">
                  <c:v>Pay-in local to local</c:v>
                </c:pt>
                <c:pt idx="2">
                  <c:v>Pay-out cross border</c:v>
                </c:pt>
                <c:pt idx="3">
                  <c:v>Pay-out local to local</c:v>
                </c:pt>
                <c:pt idx="4">
                  <c:v>Average</c:v>
                </c:pt>
              </c:strCache>
            </c:strRef>
          </c:cat>
          <c:val>
            <c:numRef>
              <c:f>Analysis!$C$178:$C$182</c:f>
              <c:numCache>
                <c:formatCode>0.0%</c:formatCode>
                <c:ptCount val="5"/>
                <c:pt idx="0">
                  <c:v>0.05</c:v>
                </c:pt>
                <c:pt idx="1">
                  <c:v>3.3000000000000002E-2</c:v>
                </c:pt>
                <c:pt idx="2">
                  <c:v>4.3999999999999997E-2</c:v>
                </c:pt>
                <c:pt idx="3">
                  <c:v>2.8000000000000001E-2</c:v>
                </c:pt>
                <c:pt idx="4">
                  <c:v>4.3477697375526515E-2</c:v>
                </c:pt>
              </c:numCache>
            </c:numRef>
          </c:val>
          <c:extLst>
            <c:ext xmlns:c16="http://schemas.microsoft.com/office/drawing/2014/chart" uri="{C3380CC4-5D6E-409C-BE32-E72D297353CC}">
              <c16:uniqueId val="{00000000-102F-41C9-A702-55576361715B}"/>
            </c:ext>
          </c:extLst>
        </c:ser>
        <c:ser>
          <c:idx val="1"/>
          <c:order val="1"/>
          <c:tx>
            <c:strRef>
              <c:f>Analysis!$D$177</c:f>
              <c:strCache>
                <c:ptCount val="1"/>
                <c:pt idx="0">
                  <c:v>Net</c:v>
                </c:pt>
              </c:strCache>
            </c:strRef>
          </c:tx>
          <c:spPr>
            <a:solidFill>
              <a:srgbClr val="9999FF"/>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Analysis!$B$178:$B$182</c:f>
              <c:strCache>
                <c:ptCount val="5"/>
                <c:pt idx="0">
                  <c:v>Pay-in cross border</c:v>
                </c:pt>
                <c:pt idx="1">
                  <c:v>Pay-in local to local</c:v>
                </c:pt>
                <c:pt idx="2">
                  <c:v>Pay-out cross border</c:v>
                </c:pt>
                <c:pt idx="3">
                  <c:v>Pay-out local to local</c:v>
                </c:pt>
                <c:pt idx="4">
                  <c:v>Average</c:v>
                </c:pt>
              </c:strCache>
            </c:strRef>
          </c:cat>
          <c:val>
            <c:numRef>
              <c:f>Analysis!$D$178:$D$182</c:f>
              <c:numCache>
                <c:formatCode>0.0%</c:formatCode>
                <c:ptCount val="5"/>
                <c:pt idx="0">
                  <c:v>2.8000000000000001E-2</c:v>
                </c:pt>
                <c:pt idx="1">
                  <c:v>2.8000000000000001E-2</c:v>
                </c:pt>
                <c:pt idx="2">
                  <c:v>2.4E-2</c:v>
                </c:pt>
                <c:pt idx="3">
                  <c:v>2.4E-2</c:v>
                </c:pt>
                <c:pt idx="4">
                  <c:v>2.6233934550167405E-2</c:v>
                </c:pt>
              </c:numCache>
            </c:numRef>
          </c:val>
          <c:extLst>
            <c:ext xmlns:c16="http://schemas.microsoft.com/office/drawing/2014/chart" uri="{C3380CC4-5D6E-409C-BE32-E72D297353CC}">
              <c16:uniqueId val="{00000001-102F-41C9-A702-55576361715B}"/>
            </c:ext>
          </c:extLst>
        </c:ser>
        <c:dLbls>
          <c:showLegendKey val="0"/>
          <c:showVal val="0"/>
          <c:showCatName val="0"/>
          <c:showSerName val="0"/>
          <c:showPercent val="0"/>
          <c:showBubbleSize val="0"/>
        </c:dLbls>
        <c:gapWidth val="219"/>
        <c:overlap val="-27"/>
        <c:axId val="828845504"/>
        <c:axId val="828852064"/>
      </c:barChart>
      <c:catAx>
        <c:axId val="82884550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28852064"/>
        <c:crosses val="autoZero"/>
        <c:auto val="1"/>
        <c:lblAlgn val="ctr"/>
        <c:lblOffset val="100"/>
        <c:noMultiLvlLbl val="0"/>
      </c:catAx>
      <c:valAx>
        <c:axId val="828852064"/>
        <c:scaling>
          <c:orientation val="minMax"/>
        </c:scaling>
        <c:delete val="0"/>
        <c:axPos val="l"/>
        <c:majorGridlines>
          <c:spPr>
            <a:ln w="3175" cap="flat" cmpd="sng" algn="ctr">
              <a:solidFill>
                <a:srgbClr val="C0C0C0"/>
              </a:solidFill>
              <a:prstDash val="solid"/>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2884550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Analysis!$B$194</c:f>
              <c:strCache>
                <c:ptCount val="1"/>
                <c:pt idx="0">
                  <c:v>Gross take-rate</c:v>
                </c:pt>
              </c:strCache>
            </c:strRef>
          </c:tx>
          <c:spPr>
            <a:ln w="25400" cap="rnd">
              <a:solidFill>
                <a:srgbClr val="333399"/>
              </a:solidFill>
              <a:prstDash val="solid"/>
              <a:round/>
            </a:ln>
            <a:effectLst/>
          </c:spPr>
          <c:marker>
            <c:symbol val="none"/>
          </c:marker>
          <c:cat>
            <c:numRef>
              <c:f>Analysis!$D$193:$O$193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Analysis!$D$194:$O$194</c:f>
              <c:numCache>
                <c:formatCode>0.0%</c:formatCode>
                <c:ptCount val="12"/>
                <c:pt idx="0">
                  <c:v>4.2735042735042736E-2</c:v>
                </c:pt>
                <c:pt idx="1">
                  <c:v>5.0387596899224806E-2</c:v>
                </c:pt>
                <c:pt idx="2">
                  <c:v>4.035377748388163E-2</c:v>
                </c:pt>
                <c:pt idx="3">
                  <c:v>3.9642282577836661E-2</c:v>
                </c:pt>
                <c:pt idx="4">
                  <c:v>3.679357357017593E-2</c:v>
                </c:pt>
                <c:pt idx="5">
                  <c:v>3.0715900215466614E-2</c:v>
                </c:pt>
                <c:pt idx="6">
                  <c:v>2.7891247714345532E-2</c:v>
                </c:pt>
                <c:pt idx="7">
                  <c:v>2.70272702986314E-2</c:v>
                </c:pt>
                <c:pt idx="8">
                  <c:v>2.5945889463882196E-2</c:v>
                </c:pt>
                <c:pt idx="9">
                  <c:v>2.5168882638464812E-2</c:v>
                </c:pt>
                <c:pt idx="10">
                  <c:v>2.4188868392877039E-2</c:v>
                </c:pt>
                <c:pt idx="11">
                  <c:v>2.3475550027889487E-2</c:v>
                </c:pt>
              </c:numCache>
            </c:numRef>
          </c:val>
          <c:smooth val="0"/>
          <c:extLst>
            <c:ext xmlns:c16="http://schemas.microsoft.com/office/drawing/2014/chart" uri="{C3380CC4-5D6E-409C-BE32-E72D297353CC}">
              <c16:uniqueId val="{00000000-76CD-4BB1-A265-7E111CC9ECE1}"/>
            </c:ext>
          </c:extLst>
        </c:ser>
        <c:ser>
          <c:idx val="1"/>
          <c:order val="1"/>
          <c:tx>
            <c:strRef>
              <c:f>Analysis!$B$195</c:f>
              <c:strCache>
                <c:ptCount val="1"/>
                <c:pt idx="0">
                  <c:v>Net take-rate</c:v>
                </c:pt>
              </c:strCache>
            </c:strRef>
          </c:tx>
          <c:spPr>
            <a:ln w="25400" cap="rnd">
              <a:solidFill>
                <a:srgbClr val="99CCFF"/>
              </a:solidFill>
              <a:prstDash val="solid"/>
              <a:round/>
            </a:ln>
            <a:effectLst/>
          </c:spPr>
          <c:marker>
            <c:symbol val="none"/>
          </c:marker>
          <c:cat>
            <c:numRef>
              <c:f>Analysis!$D$193:$O$193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Analysis!$D$195:$O$195</c:f>
              <c:numCache>
                <c:formatCode>0.0%</c:formatCode>
                <c:ptCount val="12"/>
                <c:pt idx="0">
                  <c:v>2.8480186480186478E-2</c:v>
                </c:pt>
                <c:pt idx="1">
                  <c:v>3.0205910852713177E-2</c:v>
                </c:pt>
                <c:pt idx="2">
                  <c:v>2.2619275913374114E-2</c:v>
                </c:pt>
                <c:pt idx="3">
                  <c:v>2.0126525977098512E-2</c:v>
                </c:pt>
                <c:pt idx="4">
                  <c:v>1.6687107540872319E-2</c:v>
                </c:pt>
                <c:pt idx="5">
                  <c:v>1.362824444769075E-2</c:v>
                </c:pt>
                <c:pt idx="6">
                  <c:v>1.2649607116055065E-2</c:v>
                </c:pt>
                <c:pt idx="7">
                  <c:v>1.2257764665051801E-2</c:v>
                </c:pt>
                <c:pt idx="8">
                  <c:v>1.1767322543476387E-2</c:v>
                </c:pt>
                <c:pt idx="9">
                  <c:v>1.1414924143494884E-2</c:v>
                </c:pt>
                <c:pt idx="10">
                  <c:v>1.0970455136522266E-2</c:v>
                </c:pt>
                <c:pt idx="11">
                  <c:v>1.0646941568460615E-2</c:v>
                </c:pt>
              </c:numCache>
            </c:numRef>
          </c:val>
          <c:smooth val="0"/>
          <c:extLst>
            <c:ext xmlns:c16="http://schemas.microsoft.com/office/drawing/2014/chart" uri="{C3380CC4-5D6E-409C-BE32-E72D297353CC}">
              <c16:uniqueId val="{00000001-76CD-4BB1-A265-7E111CC9ECE1}"/>
            </c:ext>
          </c:extLst>
        </c:ser>
        <c:dLbls>
          <c:showLegendKey val="0"/>
          <c:showVal val="0"/>
          <c:showCatName val="0"/>
          <c:showSerName val="0"/>
          <c:showPercent val="0"/>
          <c:showBubbleSize val="0"/>
        </c:dLbls>
        <c:smooth val="0"/>
        <c:axId val="962379824"/>
        <c:axId val="962380152"/>
      </c:lineChart>
      <c:catAx>
        <c:axId val="9623798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962380152"/>
        <c:crosses val="autoZero"/>
        <c:auto val="1"/>
        <c:lblAlgn val="ctr"/>
        <c:lblOffset val="100"/>
        <c:noMultiLvlLbl val="0"/>
      </c:catAx>
      <c:valAx>
        <c:axId val="962380152"/>
        <c:scaling>
          <c:orientation val="minMax"/>
        </c:scaling>
        <c:delete val="0"/>
        <c:axPos val="l"/>
        <c:majorGridlines>
          <c:spPr>
            <a:ln w="3175" cap="flat" cmpd="sng" algn="ctr">
              <a:solidFill>
                <a:srgbClr val="C0C0C0"/>
              </a:solidFill>
              <a:prstDash val="solid"/>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96237982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Analysis!$B$260</c:f>
              <c:strCache>
                <c:ptCount val="1"/>
                <c:pt idx="0">
                  <c:v>Clean net income</c:v>
                </c:pt>
              </c:strCache>
            </c:strRef>
          </c:tx>
          <c:spPr>
            <a:solidFill>
              <a:srgbClr val="000080"/>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Analysis!$C$228:$G$228</c:f>
              <c:strCache>
                <c:ptCount val="5"/>
                <c:pt idx="0">
                  <c:v>dLocal</c:v>
                </c:pt>
                <c:pt idx="1">
                  <c:v>Adyen</c:v>
                </c:pt>
                <c:pt idx="2">
                  <c:v>PAGS</c:v>
                </c:pt>
                <c:pt idx="3">
                  <c:v>STNE</c:v>
                </c:pt>
                <c:pt idx="4">
                  <c:v>Nuvei</c:v>
                </c:pt>
              </c:strCache>
            </c:strRef>
          </c:cat>
          <c:val>
            <c:numRef>
              <c:f>Analysis!$C$260:$G$260</c:f>
              <c:numCache>
                <c:formatCode>0</c:formatCode>
                <c:ptCount val="5"/>
                <c:pt idx="0">
                  <c:v>61.241478867591624</c:v>
                </c:pt>
                <c:pt idx="1">
                  <c:v>44.241449868459512</c:v>
                </c:pt>
                <c:pt idx="2">
                  <c:v>31.982282928760554</c:v>
                </c:pt>
                <c:pt idx="3">
                  <c:v>25.643111030784993</c:v>
                </c:pt>
                <c:pt idx="4">
                  <c:v>17.109324758842433</c:v>
                </c:pt>
              </c:numCache>
            </c:numRef>
          </c:val>
          <c:extLst>
            <c:ext xmlns:c16="http://schemas.microsoft.com/office/drawing/2014/chart" uri="{C3380CC4-5D6E-409C-BE32-E72D297353CC}">
              <c16:uniqueId val="{00000000-7C68-4019-B128-BBD5B5DC3A96}"/>
            </c:ext>
          </c:extLst>
        </c:ser>
        <c:ser>
          <c:idx val="1"/>
          <c:order val="1"/>
          <c:tx>
            <c:strRef>
              <c:f>Analysis!$B$261</c:f>
              <c:strCache>
                <c:ptCount val="1"/>
                <c:pt idx="0">
                  <c:v>Non COGS Opex</c:v>
                </c:pt>
              </c:strCache>
            </c:strRef>
          </c:tx>
          <c:spPr>
            <a:solidFill>
              <a:srgbClr val="9999FF"/>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Analysis!$C$228:$G$228</c:f>
              <c:strCache>
                <c:ptCount val="5"/>
                <c:pt idx="0">
                  <c:v>dLocal</c:v>
                </c:pt>
                <c:pt idx="1">
                  <c:v>Adyen</c:v>
                </c:pt>
                <c:pt idx="2">
                  <c:v>PAGS</c:v>
                </c:pt>
                <c:pt idx="3">
                  <c:v>STNE</c:v>
                </c:pt>
                <c:pt idx="4">
                  <c:v>Nuvei</c:v>
                </c:pt>
              </c:strCache>
            </c:strRef>
          </c:cat>
          <c:val>
            <c:numRef>
              <c:f>Analysis!$C$261:$G$261</c:f>
              <c:numCache>
                <c:formatCode>0</c:formatCode>
                <c:ptCount val="5"/>
                <c:pt idx="0">
                  <c:v>32.743604138262896</c:v>
                </c:pt>
                <c:pt idx="1">
                  <c:v>41.172171879567379</c:v>
                </c:pt>
                <c:pt idx="2">
                  <c:v>46.769603840348395</c:v>
                </c:pt>
                <c:pt idx="3">
                  <c:v>58.102897764925601</c:v>
                </c:pt>
                <c:pt idx="4">
                  <c:v>47.588424437299039</c:v>
                </c:pt>
              </c:numCache>
            </c:numRef>
          </c:val>
          <c:extLst>
            <c:ext xmlns:c16="http://schemas.microsoft.com/office/drawing/2014/chart" uri="{C3380CC4-5D6E-409C-BE32-E72D297353CC}">
              <c16:uniqueId val="{00000001-7C68-4019-B128-BBD5B5DC3A96}"/>
            </c:ext>
          </c:extLst>
        </c:ser>
        <c:ser>
          <c:idx val="2"/>
          <c:order val="2"/>
          <c:tx>
            <c:strRef>
              <c:f>Analysis!$B$262</c:f>
              <c:strCache>
                <c:ptCount val="1"/>
                <c:pt idx="0">
                  <c:v>D&amp;A</c:v>
                </c:pt>
              </c:strCache>
            </c:strRef>
          </c:tx>
          <c:spPr>
            <a:solidFill>
              <a:srgbClr val="3366FF"/>
            </a:solidFill>
            <a:ln w="25400">
              <a:noFill/>
            </a:ln>
            <a:effectLst/>
          </c:spPr>
          <c:invertIfNegative val="0"/>
          <c:cat>
            <c:strRef>
              <c:f>Analysis!$C$228:$G$228</c:f>
              <c:strCache>
                <c:ptCount val="5"/>
                <c:pt idx="0">
                  <c:v>dLocal</c:v>
                </c:pt>
                <c:pt idx="1">
                  <c:v>Adyen</c:v>
                </c:pt>
                <c:pt idx="2">
                  <c:v>PAGS</c:v>
                </c:pt>
                <c:pt idx="3">
                  <c:v>STNE</c:v>
                </c:pt>
                <c:pt idx="4">
                  <c:v>Nuvei</c:v>
                </c:pt>
              </c:strCache>
            </c:strRef>
          </c:cat>
          <c:val>
            <c:numRef>
              <c:f>Analysis!$C$262:$G$262</c:f>
              <c:numCache>
                <c:formatCode>0</c:formatCode>
                <c:ptCount val="5"/>
                <c:pt idx="0">
                  <c:v>1.5911460421846177</c:v>
                </c:pt>
                <c:pt idx="1">
                  <c:v>4.180064308681672</c:v>
                </c:pt>
                <c:pt idx="2">
                  <c:v>9.3113602058743457</c:v>
                </c:pt>
                <c:pt idx="3">
                  <c:v>7.7203445990722344</c:v>
                </c:pt>
                <c:pt idx="4">
                  <c:v>22.411575562700968</c:v>
                </c:pt>
              </c:numCache>
            </c:numRef>
          </c:val>
          <c:extLst>
            <c:ext xmlns:c16="http://schemas.microsoft.com/office/drawing/2014/chart" uri="{C3380CC4-5D6E-409C-BE32-E72D297353CC}">
              <c16:uniqueId val="{00000002-7C68-4019-B128-BBD5B5DC3A96}"/>
            </c:ext>
          </c:extLst>
        </c:ser>
        <c:ser>
          <c:idx val="3"/>
          <c:order val="3"/>
          <c:tx>
            <c:strRef>
              <c:f>Analysis!$B$263</c:f>
              <c:strCache>
                <c:ptCount val="1"/>
                <c:pt idx="0">
                  <c:v>Fin charges</c:v>
                </c:pt>
              </c:strCache>
            </c:strRef>
          </c:tx>
          <c:spPr>
            <a:solidFill>
              <a:srgbClr val="CCCCFF"/>
            </a:solidFill>
            <a:ln w="25400">
              <a:noFill/>
            </a:ln>
            <a:effectLst/>
          </c:spPr>
          <c:invertIfNegative val="0"/>
          <c:cat>
            <c:strRef>
              <c:f>Analysis!$C$228:$G$228</c:f>
              <c:strCache>
                <c:ptCount val="5"/>
                <c:pt idx="0">
                  <c:v>dLocal</c:v>
                </c:pt>
                <c:pt idx="1">
                  <c:v>Adyen</c:v>
                </c:pt>
                <c:pt idx="2">
                  <c:v>PAGS</c:v>
                </c:pt>
                <c:pt idx="3">
                  <c:v>STNE</c:v>
                </c:pt>
                <c:pt idx="4">
                  <c:v>Nuvei</c:v>
                </c:pt>
              </c:strCache>
            </c:strRef>
          </c:cat>
          <c:val>
            <c:numRef>
              <c:f>Analysis!$C$263:$G$263</c:f>
              <c:numCache>
                <c:formatCode>0</c:formatCode>
                <c:ptCount val="5"/>
                <c:pt idx="0">
                  <c:v>-0.75868153019488327</c:v>
                </c:pt>
                <c:pt idx="1">
                  <c:v>1.3154048523823443</c:v>
                </c:pt>
                <c:pt idx="2">
                  <c:v>0</c:v>
                </c:pt>
                <c:pt idx="3">
                  <c:v>0</c:v>
                </c:pt>
                <c:pt idx="4">
                  <c:v>11.89710610932476</c:v>
                </c:pt>
              </c:numCache>
            </c:numRef>
          </c:val>
          <c:extLst>
            <c:ext xmlns:c16="http://schemas.microsoft.com/office/drawing/2014/chart" uri="{C3380CC4-5D6E-409C-BE32-E72D297353CC}">
              <c16:uniqueId val="{00000004-7C68-4019-B128-BBD5B5DC3A96}"/>
            </c:ext>
          </c:extLst>
        </c:ser>
        <c:ser>
          <c:idx val="4"/>
          <c:order val="4"/>
          <c:tx>
            <c:strRef>
              <c:f>Analysis!$B$264</c:f>
              <c:strCache>
                <c:ptCount val="1"/>
                <c:pt idx="0">
                  <c:v>Plus associates</c:v>
                </c:pt>
              </c:strCache>
            </c:strRef>
          </c:tx>
          <c:spPr>
            <a:solidFill>
              <a:srgbClr val="969696"/>
            </a:solidFill>
            <a:ln w="25400">
              <a:noFill/>
            </a:ln>
            <a:effectLst/>
          </c:spPr>
          <c:invertIfNegative val="0"/>
          <c:cat>
            <c:strRef>
              <c:f>Analysis!$C$228:$G$228</c:f>
              <c:strCache>
                <c:ptCount val="5"/>
                <c:pt idx="0">
                  <c:v>dLocal</c:v>
                </c:pt>
                <c:pt idx="1">
                  <c:v>Adyen</c:v>
                </c:pt>
                <c:pt idx="2">
                  <c:v>PAGS</c:v>
                </c:pt>
                <c:pt idx="3">
                  <c:v>STNE</c:v>
                </c:pt>
                <c:pt idx="4">
                  <c:v>Nuvei</c:v>
                </c:pt>
              </c:strCache>
            </c:strRef>
          </c:cat>
          <c:val>
            <c:numRef>
              <c:f>Analysis!$C$264:$G$264</c:f>
              <c:numCache>
                <c:formatCode>0</c:formatCode>
                <c:ptCount val="5"/>
                <c:pt idx="0">
                  <c:v>0</c:v>
                </c:pt>
                <c:pt idx="1">
                  <c:v>0</c:v>
                </c:pt>
                <c:pt idx="2">
                  <c:v>0</c:v>
                </c:pt>
                <c:pt idx="3">
                  <c:v>-0.20784384601482017</c:v>
                </c:pt>
                <c:pt idx="4">
                  <c:v>0</c:v>
                </c:pt>
              </c:numCache>
            </c:numRef>
          </c:val>
          <c:extLst>
            <c:ext xmlns:c16="http://schemas.microsoft.com/office/drawing/2014/chart" uri="{C3380CC4-5D6E-409C-BE32-E72D297353CC}">
              <c16:uniqueId val="{00000005-7C68-4019-B128-BBD5B5DC3A96}"/>
            </c:ext>
          </c:extLst>
        </c:ser>
        <c:ser>
          <c:idx val="5"/>
          <c:order val="5"/>
          <c:tx>
            <c:strRef>
              <c:f>Analysis!$B$265</c:f>
              <c:strCache>
                <c:ptCount val="1"/>
                <c:pt idx="0">
                  <c:v>Tax</c:v>
                </c:pt>
              </c:strCache>
            </c:strRef>
          </c:tx>
          <c:spPr>
            <a:solidFill>
              <a:srgbClr val="C0C0C0"/>
            </a:solidFill>
            <a:ln w="25400">
              <a:noFill/>
            </a:ln>
            <a:effectLst/>
          </c:spPr>
          <c:invertIfNegative val="0"/>
          <c:cat>
            <c:strRef>
              <c:f>Analysis!$C$228:$G$228</c:f>
              <c:strCache>
                <c:ptCount val="5"/>
                <c:pt idx="0">
                  <c:v>dLocal</c:v>
                </c:pt>
                <c:pt idx="1">
                  <c:v>Adyen</c:v>
                </c:pt>
                <c:pt idx="2">
                  <c:v>PAGS</c:v>
                </c:pt>
                <c:pt idx="3">
                  <c:v>STNE</c:v>
                </c:pt>
                <c:pt idx="4">
                  <c:v>Nuvei</c:v>
                </c:pt>
              </c:strCache>
            </c:strRef>
          </c:cat>
          <c:val>
            <c:numRef>
              <c:f>Analysis!$C$265:$G$265</c:f>
              <c:numCache>
                <c:formatCode>0</c:formatCode>
                <c:ptCount val="5"/>
                <c:pt idx="0">
                  <c:v>5.1824524821557461</c:v>
                </c:pt>
                <c:pt idx="1">
                  <c:v>9.0909090909090917</c:v>
                </c:pt>
                <c:pt idx="2">
                  <c:v>11.936753025016699</c:v>
                </c:pt>
                <c:pt idx="3">
                  <c:v>8.7414904512320017</c:v>
                </c:pt>
                <c:pt idx="4">
                  <c:v>0.99356913183279738</c:v>
                </c:pt>
              </c:numCache>
            </c:numRef>
          </c:val>
          <c:extLst>
            <c:ext xmlns:c16="http://schemas.microsoft.com/office/drawing/2014/chart" uri="{C3380CC4-5D6E-409C-BE32-E72D297353CC}">
              <c16:uniqueId val="{00000006-7C68-4019-B128-BBD5B5DC3A96}"/>
            </c:ext>
          </c:extLst>
        </c:ser>
        <c:dLbls>
          <c:showLegendKey val="0"/>
          <c:showVal val="0"/>
          <c:showCatName val="0"/>
          <c:showSerName val="0"/>
          <c:showPercent val="0"/>
          <c:showBubbleSize val="0"/>
        </c:dLbls>
        <c:gapWidth val="150"/>
        <c:overlap val="100"/>
        <c:axId val="1083180424"/>
        <c:axId val="1083186000"/>
      </c:barChart>
      <c:catAx>
        <c:axId val="108318042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083186000"/>
        <c:crosses val="autoZero"/>
        <c:auto val="1"/>
        <c:lblAlgn val="ctr"/>
        <c:lblOffset val="100"/>
        <c:noMultiLvlLbl val="0"/>
      </c:catAx>
      <c:valAx>
        <c:axId val="1083186000"/>
        <c:scaling>
          <c:orientation val="minMax"/>
          <c:min val="0"/>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08318042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Analysis!$B$274</c:f>
              <c:strCache>
                <c:ptCount val="1"/>
                <c:pt idx="0">
                  <c:v>Credit/debit cards</c:v>
                </c:pt>
              </c:strCache>
            </c:strRef>
          </c:tx>
          <c:spPr>
            <a:solidFill>
              <a:srgbClr val="000080"/>
            </a:solidFill>
            <a:ln w="25400">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8-0A7A-421B-8D06-38098CDD9F9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Analysis!$F$273:$G$273</c:f>
              <c:strCache>
                <c:ptCount val="2"/>
                <c:pt idx="0">
                  <c:v>Pay-in</c:v>
                </c:pt>
                <c:pt idx="1">
                  <c:v>Pay-out</c:v>
                </c:pt>
              </c:strCache>
            </c:strRef>
          </c:cat>
          <c:val>
            <c:numRef>
              <c:f>Analysis!$F$274:$G$274</c:f>
              <c:numCache>
                <c:formatCode>0%</c:formatCode>
                <c:ptCount val="2"/>
                <c:pt idx="0">
                  <c:v>0.63636363636363635</c:v>
                </c:pt>
                <c:pt idx="1">
                  <c:v>0</c:v>
                </c:pt>
              </c:numCache>
            </c:numRef>
          </c:val>
          <c:extLst>
            <c:ext xmlns:c16="http://schemas.microsoft.com/office/drawing/2014/chart" uri="{C3380CC4-5D6E-409C-BE32-E72D297353CC}">
              <c16:uniqueId val="{00000000-0A7A-421B-8D06-38098CDD9F98}"/>
            </c:ext>
          </c:extLst>
        </c:ser>
        <c:ser>
          <c:idx val="1"/>
          <c:order val="1"/>
          <c:tx>
            <c:strRef>
              <c:f>Analysis!$B$275</c:f>
              <c:strCache>
                <c:ptCount val="1"/>
                <c:pt idx="0">
                  <c:v>Cash/APMs (Boletos etc)</c:v>
                </c:pt>
              </c:strCache>
            </c:strRef>
          </c:tx>
          <c:spPr>
            <a:solidFill>
              <a:srgbClr val="9999FF"/>
            </a:solidFill>
            <a:ln w="25400">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0A7A-421B-8D06-38098CDD9F9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Analysis!$F$273:$G$273</c:f>
              <c:strCache>
                <c:ptCount val="2"/>
                <c:pt idx="0">
                  <c:v>Pay-in</c:v>
                </c:pt>
                <c:pt idx="1">
                  <c:v>Pay-out</c:v>
                </c:pt>
              </c:strCache>
            </c:strRef>
          </c:cat>
          <c:val>
            <c:numRef>
              <c:f>Analysis!$F$275:$G$275</c:f>
              <c:numCache>
                <c:formatCode>0%</c:formatCode>
                <c:ptCount val="2"/>
                <c:pt idx="0">
                  <c:v>0.27272727272727271</c:v>
                </c:pt>
                <c:pt idx="1">
                  <c:v>0</c:v>
                </c:pt>
              </c:numCache>
            </c:numRef>
          </c:val>
          <c:extLst>
            <c:ext xmlns:c16="http://schemas.microsoft.com/office/drawing/2014/chart" uri="{C3380CC4-5D6E-409C-BE32-E72D297353CC}">
              <c16:uniqueId val="{00000001-0A7A-421B-8D06-38098CDD9F98}"/>
            </c:ext>
          </c:extLst>
        </c:ser>
        <c:ser>
          <c:idx val="2"/>
          <c:order val="2"/>
          <c:tx>
            <c:strRef>
              <c:f>Analysis!$B$276</c:f>
              <c:strCache>
                <c:ptCount val="1"/>
                <c:pt idx="0">
                  <c:v>Wallets</c:v>
                </c:pt>
              </c:strCache>
            </c:strRef>
          </c:tx>
          <c:spPr>
            <a:solidFill>
              <a:srgbClr val="3366FF"/>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Trebuchet MS"/>
                    <a:ea typeface="Trebuchet MS"/>
                    <a:cs typeface="Trebuchet M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Analysis!$F$273:$G$273</c:f>
              <c:strCache>
                <c:ptCount val="2"/>
                <c:pt idx="0">
                  <c:v>Pay-in</c:v>
                </c:pt>
                <c:pt idx="1">
                  <c:v>Pay-out</c:v>
                </c:pt>
              </c:strCache>
            </c:strRef>
          </c:cat>
          <c:val>
            <c:numRef>
              <c:f>Analysis!$F$276:$G$276</c:f>
              <c:numCache>
                <c:formatCode>0%</c:formatCode>
                <c:ptCount val="2"/>
                <c:pt idx="0">
                  <c:v>5.4545454545454543E-2</c:v>
                </c:pt>
                <c:pt idx="1">
                  <c:v>4.4444444444444446E-2</c:v>
                </c:pt>
              </c:numCache>
            </c:numRef>
          </c:val>
          <c:extLst>
            <c:ext xmlns:c16="http://schemas.microsoft.com/office/drawing/2014/chart" uri="{C3380CC4-5D6E-409C-BE32-E72D297353CC}">
              <c16:uniqueId val="{00000003-0A7A-421B-8D06-38098CDD9F98}"/>
            </c:ext>
          </c:extLst>
        </c:ser>
        <c:ser>
          <c:idx val="3"/>
          <c:order val="3"/>
          <c:tx>
            <c:strRef>
              <c:f>Analysis!$B$277</c:f>
              <c:strCache>
                <c:ptCount val="1"/>
                <c:pt idx="0">
                  <c:v>Bank transfers</c:v>
                </c:pt>
              </c:strCache>
            </c:strRef>
          </c:tx>
          <c:spPr>
            <a:solidFill>
              <a:srgbClr val="CCCCFF"/>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Analysis!$F$273:$G$273</c:f>
              <c:strCache>
                <c:ptCount val="2"/>
                <c:pt idx="0">
                  <c:v>Pay-in</c:v>
                </c:pt>
                <c:pt idx="1">
                  <c:v>Pay-out</c:v>
                </c:pt>
              </c:strCache>
            </c:strRef>
          </c:cat>
          <c:val>
            <c:numRef>
              <c:f>Analysis!$F$277:$G$277</c:f>
              <c:numCache>
                <c:formatCode>0%</c:formatCode>
                <c:ptCount val="2"/>
                <c:pt idx="0">
                  <c:v>3.6363636363636362E-2</c:v>
                </c:pt>
                <c:pt idx="1">
                  <c:v>0.9555555555555556</c:v>
                </c:pt>
              </c:numCache>
            </c:numRef>
          </c:val>
          <c:extLst>
            <c:ext xmlns:c16="http://schemas.microsoft.com/office/drawing/2014/chart" uri="{C3380CC4-5D6E-409C-BE32-E72D297353CC}">
              <c16:uniqueId val="{00000004-0A7A-421B-8D06-38098CDD9F98}"/>
            </c:ext>
          </c:extLst>
        </c:ser>
        <c:dLbls>
          <c:showLegendKey val="0"/>
          <c:showVal val="0"/>
          <c:showCatName val="0"/>
          <c:showSerName val="0"/>
          <c:showPercent val="0"/>
          <c:showBubbleSize val="0"/>
        </c:dLbls>
        <c:gapWidth val="150"/>
        <c:overlap val="100"/>
        <c:axId val="2046821855"/>
        <c:axId val="2046813951"/>
      </c:barChart>
      <c:catAx>
        <c:axId val="2046821855"/>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2046813951"/>
        <c:crosses val="autoZero"/>
        <c:auto val="1"/>
        <c:lblAlgn val="ctr"/>
        <c:lblOffset val="100"/>
        <c:noMultiLvlLbl val="0"/>
      </c:catAx>
      <c:valAx>
        <c:axId val="2046813951"/>
        <c:scaling>
          <c:orientation val="minMax"/>
          <c:max val="1"/>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2046821855"/>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Quarts!$O$124:$U$124</c:f>
              <c:numCache>
                <c:formatCode>0.0</c:formatCode>
                <c:ptCount val="7"/>
                <c:pt idx="0">
                  <c:v>32.9</c:v>
                </c:pt>
                <c:pt idx="1">
                  <c:v>38.200000000000003</c:v>
                </c:pt>
                <c:pt idx="2">
                  <c:v>41.6</c:v>
                </c:pt>
                <c:pt idx="3">
                  <c:v>40.4</c:v>
                </c:pt>
                <c:pt idx="4">
                  <c:v>45.5</c:v>
                </c:pt>
                <c:pt idx="5">
                  <c:v>52</c:v>
                </c:pt>
                <c:pt idx="6">
                  <c:v>55.6</c:v>
                </c:pt>
              </c:numCache>
            </c:numRef>
          </c:val>
          <c:extLst>
            <c:ext xmlns:c15="http://schemas.microsoft.com/office/drawing/2012/chart" uri="{02D57815-91ED-43cb-92C2-25804820EDAC}">
              <c15:filteredCategoryTitle>
                <c15:cat>
                  <c:multiLvlStrRef>
                    <c:extLst>
                      <c:ext uri="{02D57815-91ED-43cb-92C2-25804820EDAC}">
                        <c15:formulaRef>
                          <c15:sqref>Quarts!#REF!</c15:sqref>
                        </c15:formulaRef>
                      </c:ext>
                    </c:extLst>
                  </c:multiLvlStrRef>
                </c15:cat>
              </c15:filteredCategoryTitle>
            </c:ext>
            <c:ext xmlns:c16="http://schemas.microsoft.com/office/drawing/2014/chart" uri="{C3380CC4-5D6E-409C-BE32-E72D297353CC}">
              <c16:uniqueId val="{00000000-A694-40E0-8472-2B8EDBC3751B}"/>
            </c:ext>
          </c:extLst>
        </c:ser>
        <c:dLbls>
          <c:showLegendKey val="0"/>
          <c:showVal val="0"/>
          <c:showCatName val="0"/>
          <c:showSerName val="0"/>
          <c:showPercent val="0"/>
          <c:showBubbleSize val="0"/>
        </c:dLbls>
        <c:gapWidth val="30"/>
        <c:overlap val="-27"/>
        <c:axId val="1125660896"/>
        <c:axId val="597467296"/>
      </c:barChart>
      <c:catAx>
        <c:axId val="1125660896"/>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597467296"/>
        <c:crosses val="autoZero"/>
        <c:auto val="1"/>
        <c:lblAlgn val="ctr"/>
        <c:lblOffset val="100"/>
        <c:noMultiLvlLbl val="0"/>
      </c:catAx>
      <c:valAx>
        <c:axId val="597467296"/>
        <c:scaling>
          <c:orientation val="minMax"/>
        </c:scaling>
        <c:delete val="1"/>
        <c:axPos val="l"/>
        <c:numFmt formatCode="0.0" sourceLinked="1"/>
        <c:majorTickMark val="out"/>
        <c:minorTickMark val="none"/>
        <c:tickLblPos val="nextTo"/>
        <c:crossAx val="112566089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cat>
            <c:strRef>
              <c:f>Analysis!$B$282:$B$284</c:f>
              <c:strCache>
                <c:ptCount val="3"/>
                <c:pt idx="0">
                  <c:v>Top 2 accounts</c:v>
                </c:pt>
                <c:pt idx="1">
                  <c:v>Nos 3-10</c:v>
                </c:pt>
                <c:pt idx="2">
                  <c:v>Balance of ~340 account</c:v>
                </c:pt>
              </c:strCache>
            </c:strRef>
          </c:cat>
          <c:val>
            <c:numRef>
              <c:f>Analysis!$D$282:$D$284</c:f>
              <c:numCache>
                <c:formatCode>0</c:formatCode>
                <c:ptCount val="3"/>
                <c:pt idx="0">
                  <c:v>206.40000000000003</c:v>
                </c:pt>
                <c:pt idx="1">
                  <c:v>113.52</c:v>
                </c:pt>
                <c:pt idx="2">
                  <c:v>2.2516363636363632</c:v>
                </c:pt>
              </c:numCache>
            </c:numRef>
          </c:val>
          <c:extLst>
            <c:ext xmlns:c16="http://schemas.microsoft.com/office/drawing/2014/chart" uri="{C3380CC4-5D6E-409C-BE32-E72D297353CC}">
              <c16:uniqueId val="{00000000-E404-4A8E-B620-3EE534A0ECAA}"/>
            </c:ext>
          </c:extLst>
        </c:ser>
        <c:dLbls>
          <c:showLegendKey val="0"/>
          <c:showVal val="0"/>
          <c:showCatName val="0"/>
          <c:showSerName val="0"/>
          <c:showPercent val="0"/>
          <c:showBubbleSize val="0"/>
        </c:dLbls>
        <c:gapWidth val="219"/>
        <c:overlap val="-27"/>
        <c:axId val="406107176"/>
        <c:axId val="406107504"/>
      </c:barChart>
      <c:catAx>
        <c:axId val="40610717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406107504"/>
        <c:crosses val="autoZero"/>
        <c:auto val="1"/>
        <c:lblAlgn val="ctr"/>
        <c:lblOffset val="100"/>
        <c:noMultiLvlLbl val="0"/>
      </c:catAx>
      <c:valAx>
        <c:axId val="406107504"/>
        <c:scaling>
          <c:orientation val="minMax"/>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40610717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Analysis!$B$301</c:f>
              <c:strCache>
                <c:ptCount val="1"/>
                <c:pt idx="0">
                  <c:v>Credit cards</c:v>
                </c:pt>
              </c:strCache>
            </c:strRef>
          </c:tx>
          <c:spPr>
            <a:solidFill>
              <a:srgbClr val="000080"/>
            </a:solidFill>
            <a:ln w="25400">
              <a:noFill/>
            </a:ln>
            <a:effectLst/>
          </c:spPr>
          <c:invertIfNegative val="0"/>
          <c:cat>
            <c:strRef>
              <c:f>Analysis!$C$300:$H$300</c:f>
              <c:strCache>
                <c:ptCount val="6"/>
                <c:pt idx="0">
                  <c:v>2016</c:v>
                </c:pt>
                <c:pt idx="1">
                  <c:v>2017</c:v>
                </c:pt>
                <c:pt idx="2">
                  <c:v>2018</c:v>
                </c:pt>
                <c:pt idx="3">
                  <c:v>2019</c:v>
                </c:pt>
                <c:pt idx="4">
                  <c:v>2020</c:v>
                </c:pt>
                <c:pt idx="5">
                  <c:v>Q1 21 annualised</c:v>
                </c:pt>
              </c:strCache>
            </c:strRef>
          </c:cat>
          <c:val>
            <c:numRef>
              <c:f>Analysis!$C$301:$H$301</c:f>
              <c:numCache>
                <c:formatCode>#,##0</c:formatCode>
                <c:ptCount val="6"/>
                <c:pt idx="0">
                  <c:v>750</c:v>
                </c:pt>
                <c:pt idx="1">
                  <c:v>843</c:v>
                </c:pt>
                <c:pt idx="2">
                  <c:v>966</c:v>
                </c:pt>
                <c:pt idx="3">
                  <c:v>1155</c:v>
                </c:pt>
                <c:pt idx="4">
                  <c:v>1185</c:v>
                </c:pt>
                <c:pt idx="5">
                  <c:v>1344</c:v>
                </c:pt>
              </c:numCache>
            </c:numRef>
          </c:val>
          <c:extLst>
            <c:ext xmlns:c16="http://schemas.microsoft.com/office/drawing/2014/chart" uri="{C3380CC4-5D6E-409C-BE32-E72D297353CC}">
              <c16:uniqueId val="{00000000-74B7-4958-A357-D3248349E59E}"/>
            </c:ext>
          </c:extLst>
        </c:ser>
        <c:ser>
          <c:idx val="1"/>
          <c:order val="1"/>
          <c:tx>
            <c:strRef>
              <c:f>Analysis!$B$302</c:f>
              <c:strCache>
                <c:ptCount val="1"/>
                <c:pt idx="0">
                  <c:v>Debit cards</c:v>
                </c:pt>
              </c:strCache>
            </c:strRef>
          </c:tx>
          <c:spPr>
            <a:solidFill>
              <a:srgbClr val="9999FF"/>
            </a:solidFill>
            <a:ln w="25400">
              <a:noFill/>
            </a:ln>
            <a:effectLst/>
          </c:spPr>
          <c:invertIfNegative val="0"/>
          <c:cat>
            <c:strRef>
              <c:f>Analysis!$C$300:$H$300</c:f>
              <c:strCache>
                <c:ptCount val="6"/>
                <c:pt idx="0">
                  <c:v>2016</c:v>
                </c:pt>
                <c:pt idx="1">
                  <c:v>2017</c:v>
                </c:pt>
                <c:pt idx="2">
                  <c:v>2018</c:v>
                </c:pt>
                <c:pt idx="3">
                  <c:v>2019</c:v>
                </c:pt>
                <c:pt idx="4">
                  <c:v>2020</c:v>
                </c:pt>
                <c:pt idx="5">
                  <c:v>Q1 21 annualised</c:v>
                </c:pt>
              </c:strCache>
            </c:strRef>
          </c:cat>
          <c:val>
            <c:numRef>
              <c:f>Analysis!$C$302:$H$302</c:f>
              <c:numCache>
                <c:formatCode>#,##0</c:formatCode>
                <c:ptCount val="6"/>
                <c:pt idx="0">
                  <c:v>451</c:v>
                </c:pt>
                <c:pt idx="1">
                  <c:v>508</c:v>
                </c:pt>
                <c:pt idx="2">
                  <c:v>576</c:v>
                </c:pt>
                <c:pt idx="3">
                  <c:v>664</c:v>
                </c:pt>
                <c:pt idx="4">
                  <c:v>762</c:v>
                </c:pt>
                <c:pt idx="5">
                  <c:v>816</c:v>
                </c:pt>
              </c:numCache>
            </c:numRef>
          </c:val>
          <c:extLst>
            <c:ext xmlns:c16="http://schemas.microsoft.com/office/drawing/2014/chart" uri="{C3380CC4-5D6E-409C-BE32-E72D297353CC}">
              <c16:uniqueId val="{00000001-74B7-4958-A357-D3248349E59E}"/>
            </c:ext>
          </c:extLst>
        </c:ser>
        <c:ser>
          <c:idx val="2"/>
          <c:order val="2"/>
          <c:tx>
            <c:strRef>
              <c:f>Analysis!$B$303</c:f>
              <c:strCache>
                <c:ptCount val="1"/>
                <c:pt idx="0">
                  <c:v>Pre-paid cards</c:v>
                </c:pt>
              </c:strCache>
            </c:strRef>
          </c:tx>
          <c:spPr>
            <a:solidFill>
              <a:srgbClr val="3366FF"/>
            </a:solidFill>
            <a:ln w="25400">
              <a:noFill/>
            </a:ln>
            <a:effectLst/>
          </c:spPr>
          <c:invertIfNegative val="0"/>
          <c:cat>
            <c:strRef>
              <c:f>Analysis!$C$300:$H$300</c:f>
              <c:strCache>
                <c:ptCount val="6"/>
                <c:pt idx="0">
                  <c:v>2016</c:v>
                </c:pt>
                <c:pt idx="1">
                  <c:v>2017</c:v>
                </c:pt>
                <c:pt idx="2">
                  <c:v>2018</c:v>
                </c:pt>
                <c:pt idx="3">
                  <c:v>2019</c:v>
                </c:pt>
                <c:pt idx="4">
                  <c:v>2020</c:v>
                </c:pt>
                <c:pt idx="5">
                  <c:v>Q1 21 annualised</c:v>
                </c:pt>
              </c:strCache>
            </c:strRef>
          </c:cat>
          <c:val>
            <c:numRef>
              <c:f>Analysis!$C$303:$H$303</c:f>
              <c:numCache>
                <c:formatCode>#,##0</c:formatCode>
                <c:ptCount val="6"/>
                <c:pt idx="0">
                  <c:v>4</c:v>
                </c:pt>
                <c:pt idx="1">
                  <c:v>6</c:v>
                </c:pt>
                <c:pt idx="2">
                  <c:v>14</c:v>
                </c:pt>
                <c:pt idx="3">
                  <c:v>22</c:v>
                </c:pt>
                <c:pt idx="4">
                  <c:v>45</c:v>
                </c:pt>
                <c:pt idx="5">
                  <c:v>72</c:v>
                </c:pt>
              </c:numCache>
            </c:numRef>
          </c:val>
          <c:extLst>
            <c:ext xmlns:c16="http://schemas.microsoft.com/office/drawing/2014/chart" uri="{C3380CC4-5D6E-409C-BE32-E72D297353CC}">
              <c16:uniqueId val="{00000002-74B7-4958-A357-D3248349E59E}"/>
            </c:ext>
          </c:extLst>
        </c:ser>
        <c:dLbls>
          <c:showLegendKey val="0"/>
          <c:showVal val="0"/>
          <c:showCatName val="0"/>
          <c:showSerName val="0"/>
          <c:showPercent val="0"/>
          <c:showBubbleSize val="0"/>
        </c:dLbls>
        <c:gapWidth val="219"/>
        <c:overlap val="-27"/>
        <c:axId val="814081744"/>
        <c:axId val="814082072"/>
      </c:barChart>
      <c:catAx>
        <c:axId val="81408174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14082072"/>
        <c:crosses val="autoZero"/>
        <c:auto val="1"/>
        <c:lblAlgn val="ctr"/>
        <c:lblOffset val="100"/>
        <c:noMultiLvlLbl val="0"/>
      </c:catAx>
      <c:valAx>
        <c:axId val="814082072"/>
        <c:scaling>
          <c:orientation val="minMax"/>
        </c:scaling>
        <c:delete val="0"/>
        <c:axPos val="l"/>
        <c:majorGridlines>
          <c:spPr>
            <a:ln w="3175" cap="flat" cmpd="sng" algn="ctr">
              <a:solidFill>
                <a:srgbClr val="C0C0C0"/>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r>
                  <a:rPr lang="en-US"/>
                  <a:t>BRL billion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title>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1408174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dPt>
            <c:idx val="0"/>
            <c:invertIfNegative val="0"/>
            <c:bubble3D val="0"/>
            <c:spPr>
              <a:solidFill>
                <a:schemeClr val="accent1">
                  <a:lumMod val="20000"/>
                  <a:lumOff val="80000"/>
                </a:schemeClr>
              </a:solidFill>
              <a:ln w="25400">
                <a:solidFill>
                  <a:schemeClr val="bg1">
                    <a:lumMod val="50000"/>
                  </a:schemeClr>
                </a:solidFill>
              </a:ln>
              <a:effectLst/>
            </c:spPr>
            <c:extLst>
              <c:ext xmlns:c16="http://schemas.microsoft.com/office/drawing/2014/chart" uri="{C3380CC4-5D6E-409C-BE32-E72D297353CC}">
                <c16:uniqueId val="{00000002-07F0-48FC-A988-6EB389FE646A}"/>
              </c:ext>
            </c:extLst>
          </c:dPt>
          <c:cat>
            <c:strRef>
              <c:f>Analysis!$B$332:$B$337</c:f>
              <c:strCache>
                <c:ptCount val="6"/>
                <c:pt idx="0">
                  <c:v>dLocal</c:v>
                </c:pt>
                <c:pt idx="1">
                  <c:v>Adyen</c:v>
                </c:pt>
                <c:pt idx="2">
                  <c:v>Nuvei</c:v>
                </c:pt>
                <c:pt idx="3">
                  <c:v>Stone</c:v>
                </c:pt>
                <c:pt idx="4">
                  <c:v>PayPal</c:v>
                </c:pt>
                <c:pt idx="5">
                  <c:v>PagSeguro</c:v>
                </c:pt>
              </c:strCache>
            </c:strRef>
          </c:cat>
          <c:val>
            <c:numRef>
              <c:f>Analysis!$C$332:$C$337</c:f>
              <c:numCache>
                <c:formatCode>General</c:formatCode>
                <c:ptCount val="6"/>
                <c:pt idx="0">
                  <c:v>48.6</c:v>
                </c:pt>
                <c:pt idx="1">
                  <c:v>38</c:v>
                </c:pt>
                <c:pt idx="2">
                  <c:v>14.5</c:v>
                </c:pt>
                <c:pt idx="3">
                  <c:v>11.7</c:v>
                </c:pt>
                <c:pt idx="4">
                  <c:v>10.5</c:v>
                </c:pt>
                <c:pt idx="5">
                  <c:v>8.8000000000000007</c:v>
                </c:pt>
              </c:numCache>
            </c:numRef>
          </c:val>
          <c:extLst>
            <c:ext xmlns:c16="http://schemas.microsoft.com/office/drawing/2014/chart" uri="{C3380CC4-5D6E-409C-BE32-E72D297353CC}">
              <c16:uniqueId val="{00000000-07F0-48FC-A988-6EB389FE646A}"/>
            </c:ext>
          </c:extLst>
        </c:ser>
        <c:dLbls>
          <c:showLegendKey val="0"/>
          <c:showVal val="0"/>
          <c:showCatName val="0"/>
          <c:showSerName val="0"/>
          <c:showPercent val="0"/>
          <c:showBubbleSize val="0"/>
        </c:dLbls>
        <c:gapWidth val="219"/>
        <c:overlap val="-27"/>
        <c:axId val="1246319528"/>
        <c:axId val="1246322480"/>
      </c:barChart>
      <c:catAx>
        <c:axId val="124631952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246322480"/>
        <c:crosses val="autoZero"/>
        <c:auto val="1"/>
        <c:lblAlgn val="ctr"/>
        <c:lblOffset val="100"/>
        <c:noMultiLvlLbl val="0"/>
      </c:catAx>
      <c:valAx>
        <c:axId val="1246322480"/>
        <c:scaling>
          <c:orientation val="minMax"/>
          <c:max val="50"/>
        </c:scaling>
        <c:delete val="0"/>
        <c:axPos val="l"/>
        <c:majorGridlines>
          <c:spPr>
            <a:ln w="3175" cap="flat" cmpd="sng" algn="ctr">
              <a:solidFill>
                <a:srgbClr val="C0C0C0"/>
              </a:solidFill>
              <a:prstDash val="solid"/>
              <a:round/>
            </a:ln>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24631952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dPt>
            <c:idx val="0"/>
            <c:invertIfNegative val="0"/>
            <c:bubble3D val="0"/>
            <c:spPr>
              <a:solidFill>
                <a:schemeClr val="accent1">
                  <a:lumMod val="20000"/>
                  <a:lumOff val="80000"/>
                </a:schemeClr>
              </a:solidFill>
              <a:ln w="25400">
                <a:solidFill>
                  <a:schemeClr val="bg1">
                    <a:lumMod val="50000"/>
                  </a:schemeClr>
                </a:solidFill>
              </a:ln>
              <a:effectLst/>
            </c:spPr>
            <c:extLst>
              <c:ext xmlns:c16="http://schemas.microsoft.com/office/drawing/2014/chart" uri="{C3380CC4-5D6E-409C-BE32-E72D297353CC}">
                <c16:uniqueId val="{00000002-2738-4B9D-9F20-2A884039D3FE}"/>
              </c:ext>
            </c:extLst>
          </c:dPt>
          <c:cat>
            <c:strRef>
              <c:f>Analysis!$B$339:$B$344</c:f>
              <c:strCache>
                <c:ptCount val="6"/>
                <c:pt idx="0">
                  <c:v>dLocal</c:v>
                </c:pt>
                <c:pt idx="1">
                  <c:v>Adyen</c:v>
                </c:pt>
                <c:pt idx="2">
                  <c:v>Nuvei</c:v>
                </c:pt>
                <c:pt idx="3">
                  <c:v>PayPal</c:v>
                </c:pt>
                <c:pt idx="4">
                  <c:v>Stone</c:v>
                </c:pt>
                <c:pt idx="5">
                  <c:v>PagSeguro</c:v>
                </c:pt>
              </c:strCache>
            </c:strRef>
          </c:cat>
          <c:val>
            <c:numRef>
              <c:f>Analysis!$C$339:$C$344</c:f>
              <c:numCache>
                <c:formatCode>General</c:formatCode>
                <c:ptCount val="6"/>
                <c:pt idx="0">
                  <c:v>85</c:v>
                </c:pt>
                <c:pt idx="1">
                  <c:v>80</c:v>
                </c:pt>
                <c:pt idx="2">
                  <c:v>49</c:v>
                </c:pt>
                <c:pt idx="3" formatCode="0">
                  <c:v>46.1</c:v>
                </c:pt>
                <c:pt idx="4">
                  <c:v>44</c:v>
                </c:pt>
                <c:pt idx="5">
                  <c:v>31</c:v>
                </c:pt>
              </c:numCache>
            </c:numRef>
          </c:val>
          <c:extLst>
            <c:ext xmlns:c16="http://schemas.microsoft.com/office/drawing/2014/chart" uri="{C3380CC4-5D6E-409C-BE32-E72D297353CC}">
              <c16:uniqueId val="{00000000-2738-4B9D-9F20-2A884039D3FE}"/>
            </c:ext>
          </c:extLst>
        </c:ser>
        <c:dLbls>
          <c:showLegendKey val="0"/>
          <c:showVal val="0"/>
          <c:showCatName val="0"/>
          <c:showSerName val="0"/>
          <c:showPercent val="0"/>
          <c:showBubbleSize val="0"/>
        </c:dLbls>
        <c:gapWidth val="219"/>
        <c:overlap val="-27"/>
        <c:axId val="1246319528"/>
        <c:axId val="1246322480"/>
      </c:barChart>
      <c:catAx>
        <c:axId val="124631952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246322480"/>
        <c:crosses val="autoZero"/>
        <c:auto val="1"/>
        <c:lblAlgn val="ctr"/>
        <c:lblOffset val="100"/>
        <c:noMultiLvlLbl val="0"/>
      </c:catAx>
      <c:valAx>
        <c:axId val="1246322480"/>
        <c:scaling>
          <c:orientation val="minMax"/>
        </c:scaling>
        <c:delete val="0"/>
        <c:axPos val="l"/>
        <c:majorGridlines>
          <c:spPr>
            <a:ln w="3175" cap="flat" cmpd="sng" algn="ctr">
              <a:solidFill>
                <a:srgbClr val="C0C0C0"/>
              </a:solidFill>
              <a:prstDash val="solid"/>
              <a:round/>
            </a:ln>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24631952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Analysis!$B$303</c:f>
              <c:strCache>
                <c:ptCount val="1"/>
                <c:pt idx="0">
                  <c:v>Pre-paid cards</c:v>
                </c:pt>
              </c:strCache>
            </c:strRef>
          </c:tx>
          <c:spPr>
            <a:solidFill>
              <a:srgbClr val="000080"/>
            </a:solidFill>
            <a:ln w="25400">
              <a:noFill/>
            </a:ln>
            <a:effectLst/>
          </c:spPr>
          <c:invertIfNegative val="0"/>
          <c:cat>
            <c:strRef>
              <c:f>Analysis!$C$300:$H$300</c:f>
              <c:strCache>
                <c:ptCount val="6"/>
                <c:pt idx="0">
                  <c:v>2016</c:v>
                </c:pt>
                <c:pt idx="1">
                  <c:v>2017</c:v>
                </c:pt>
                <c:pt idx="2">
                  <c:v>2018</c:v>
                </c:pt>
                <c:pt idx="3">
                  <c:v>2019</c:v>
                </c:pt>
                <c:pt idx="4">
                  <c:v>2020</c:v>
                </c:pt>
                <c:pt idx="5">
                  <c:v>Q1 21 annualised</c:v>
                </c:pt>
              </c:strCache>
            </c:strRef>
          </c:cat>
          <c:val>
            <c:numRef>
              <c:f>Analysis!$C$303:$H$303</c:f>
              <c:numCache>
                <c:formatCode>#,##0</c:formatCode>
                <c:ptCount val="6"/>
                <c:pt idx="0">
                  <c:v>4</c:v>
                </c:pt>
                <c:pt idx="1">
                  <c:v>6</c:v>
                </c:pt>
                <c:pt idx="2">
                  <c:v>14</c:v>
                </c:pt>
                <c:pt idx="3">
                  <c:v>22</c:v>
                </c:pt>
                <c:pt idx="4">
                  <c:v>45</c:v>
                </c:pt>
                <c:pt idx="5">
                  <c:v>72</c:v>
                </c:pt>
              </c:numCache>
            </c:numRef>
          </c:val>
          <c:extLst>
            <c:ext xmlns:c16="http://schemas.microsoft.com/office/drawing/2014/chart" uri="{C3380CC4-5D6E-409C-BE32-E72D297353CC}">
              <c16:uniqueId val="{00000002-6E24-4A19-97A3-221626F35357}"/>
            </c:ext>
          </c:extLst>
        </c:ser>
        <c:dLbls>
          <c:showLegendKey val="0"/>
          <c:showVal val="0"/>
          <c:showCatName val="0"/>
          <c:showSerName val="0"/>
          <c:showPercent val="0"/>
          <c:showBubbleSize val="0"/>
        </c:dLbls>
        <c:gapWidth val="219"/>
        <c:overlap val="-27"/>
        <c:axId val="814081744"/>
        <c:axId val="814082072"/>
      </c:barChart>
      <c:catAx>
        <c:axId val="81408174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14082072"/>
        <c:crosses val="autoZero"/>
        <c:auto val="1"/>
        <c:lblAlgn val="ctr"/>
        <c:lblOffset val="100"/>
        <c:noMultiLvlLbl val="0"/>
      </c:catAx>
      <c:valAx>
        <c:axId val="814082072"/>
        <c:scaling>
          <c:orientation val="minMax"/>
        </c:scaling>
        <c:delete val="0"/>
        <c:axPos val="l"/>
        <c:majorGridlines>
          <c:spPr>
            <a:ln w="3175" cap="flat" cmpd="sng" algn="ctr">
              <a:solidFill>
                <a:srgbClr val="C0C0C0"/>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r>
                  <a:rPr lang="en-US"/>
                  <a:t>BRL billion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title>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1408174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Analysis!$B$392</c:f>
              <c:strCache>
                <c:ptCount val="1"/>
                <c:pt idx="0">
                  <c:v>EBITDA</c:v>
                </c:pt>
              </c:strCache>
            </c:strRef>
          </c:tx>
          <c:spPr>
            <a:solidFill>
              <a:srgbClr val="000080"/>
            </a:solidFill>
            <a:ln w="25400">
              <a:noFill/>
            </a:ln>
            <a:effectLst/>
          </c:spPr>
          <c:invertIfNegative val="0"/>
          <c:cat>
            <c:numRef>
              <c:f>Analysis!$C$391:$I$391</c:f>
              <c:numCache>
                <c:formatCode>General</c:formatCode>
                <c:ptCount val="7"/>
                <c:pt idx="0">
                  <c:v>2019</c:v>
                </c:pt>
                <c:pt idx="1">
                  <c:v>2020</c:v>
                </c:pt>
                <c:pt idx="2">
                  <c:v>2021</c:v>
                </c:pt>
                <c:pt idx="3">
                  <c:v>2022</c:v>
                </c:pt>
                <c:pt idx="4">
                  <c:v>2023</c:v>
                </c:pt>
                <c:pt idx="5">
                  <c:v>2024</c:v>
                </c:pt>
                <c:pt idx="6">
                  <c:v>2025</c:v>
                </c:pt>
              </c:numCache>
            </c:numRef>
          </c:cat>
          <c:val>
            <c:numRef>
              <c:f>Analysis!$C$392:$I$392</c:f>
              <c:numCache>
                <c:formatCode>0%</c:formatCode>
                <c:ptCount val="7"/>
                <c:pt idx="0">
                  <c:v>0.36490909090909091</c:v>
                </c:pt>
                <c:pt idx="1">
                  <c:v>0.40318269230769227</c:v>
                </c:pt>
                <c:pt idx="2">
                  <c:v>0.4063908234330193</c:v>
                </c:pt>
                <c:pt idx="3">
                  <c:v>0.36542134160897588</c:v>
                </c:pt>
                <c:pt idx="4">
                  <c:v>0.31103936039360397</c:v>
                </c:pt>
                <c:pt idx="5">
                  <c:v>0.24611293248547905</c:v>
                </c:pt>
                <c:pt idx="6">
                  <c:v>0.27491643623507755</c:v>
                </c:pt>
              </c:numCache>
            </c:numRef>
          </c:val>
          <c:extLst>
            <c:ext xmlns:c16="http://schemas.microsoft.com/office/drawing/2014/chart" uri="{C3380CC4-5D6E-409C-BE32-E72D297353CC}">
              <c16:uniqueId val="{00000000-AEE6-488D-9B2D-DE4FC6448D64}"/>
            </c:ext>
          </c:extLst>
        </c:ser>
        <c:ser>
          <c:idx val="1"/>
          <c:order val="1"/>
          <c:tx>
            <c:strRef>
              <c:f>Analysis!$B$394</c:f>
              <c:strCache>
                <c:ptCount val="1"/>
                <c:pt idx="0">
                  <c:v>Net income</c:v>
                </c:pt>
              </c:strCache>
            </c:strRef>
          </c:tx>
          <c:spPr>
            <a:solidFill>
              <a:srgbClr val="9999FF"/>
            </a:solidFill>
            <a:ln w="25400">
              <a:noFill/>
            </a:ln>
            <a:effectLst/>
          </c:spPr>
          <c:invertIfNegative val="0"/>
          <c:cat>
            <c:numRef>
              <c:f>Analysis!$C$391:$I$391</c:f>
              <c:numCache>
                <c:formatCode>General</c:formatCode>
                <c:ptCount val="7"/>
                <c:pt idx="0">
                  <c:v>2019</c:v>
                </c:pt>
                <c:pt idx="1">
                  <c:v>2020</c:v>
                </c:pt>
                <c:pt idx="2">
                  <c:v>2021</c:v>
                </c:pt>
                <c:pt idx="3">
                  <c:v>2022</c:v>
                </c:pt>
                <c:pt idx="4">
                  <c:v>2023</c:v>
                </c:pt>
                <c:pt idx="5">
                  <c:v>2024</c:v>
                </c:pt>
                <c:pt idx="6">
                  <c:v>2025</c:v>
                </c:pt>
              </c:numCache>
            </c:numRef>
          </c:cat>
          <c:val>
            <c:numRef>
              <c:f>Analysis!$C$394:$I$394</c:f>
              <c:numCache>
                <c:formatCode>0%</c:formatCode>
                <c:ptCount val="7"/>
                <c:pt idx="0">
                  <c:v>0.32229090909090913</c:v>
                </c:pt>
                <c:pt idx="1">
                  <c:v>0.33927884615384613</c:v>
                </c:pt>
                <c:pt idx="2">
                  <c:v>0.37129864809504304</c:v>
                </c:pt>
                <c:pt idx="3">
                  <c:v>0.29608737168775368</c:v>
                </c:pt>
                <c:pt idx="4">
                  <c:v>0.24185116851168509</c:v>
                </c:pt>
                <c:pt idx="5">
                  <c:v>0.1718491963267712</c:v>
                </c:pt>
                <c:pt idx="6">
                  <c:v>0.20060776714677656</c:v>
                </c:pt>
              </c:numCache>
            </c:numRef>
          </c:val>
          <c:extLst>
            <c:ext xmlns:c16="http://schemas.microsoft.com/office/drawing/2014/chart" uri="{C3380CC4-5D6E-409C-BE32-E72D297353CC}">
              <c16:uniqueId val="{00000002-AEE6-488D-9B2D-DE4FC6448D64}"/>
            </c:ext>
          </c:extLst>
        </c:ser>
        <c:dLbls>
          <c:showLegendKey val="0"/>
          <c:showVal val="0"/>
          <c:showCatName val="0"/>
          <c:showSerName val="0"/>
          <c:showPercent val="0"/>
          <c:showBubbleSize val="0"/>
        </c:dLbls>
        <c:gapWidth val="219"/>
        <c:overlap val="-27"/>
        <c:axId val="2082699823"/>
        <c:axId val="2082704815"/>
      </c:barChart>
      <c:catAx>
        <c:axId val="2082699823"/>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2082704815"/>
        <c:crosses val="autoZero"/>
        <c:auto val="1"/>
        <c:lblAlgn val="ctr"/>
        <c:lblOffset val="100"/>
        <c:noMultiLvlLbl val="0"/>
      </c:catAx>
      <c:valAx>
        <c:axId val="2082704815"/>
        <c:scaling>
          <c:orientation val="minMax"/>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2082699823"/>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Analysis!$B$398</c:f>
              <c:strCache>
                <c:ptCount val="1"/>
                <c:pt idx="0">
                  <c:v>Gross take-rate</c:v>
                </c:pt>
              </c:strCache>
            </c:strRef>
          </c:tx>
          <c:spPr>
            <a:solidFill>
              <a:srgbClr val="000080"/>
            </a:solidFill>
            <a:ln w="25400">
              <a:noFill/>
            </a:ln>
            <a:effectLst/>
          </c:spPr>
          <c:invertIfNegative val="0"/>
          <c:cat>
            <c:strRef>
              <c:f>Analysis!$C$397:$I$397</c:f>
              <c:strCache>
                <c:ptCount val="7"/>
                <c:pt idx="0">
                  <c:v>Q1 20</c:v>
                </c:pt>
                <c:pt idx="1">
                  <c:v>Q2 20</c:v>
                </c:pt>
                <c:pt idx="2">
                  <c:v>Q3 20</c:v>
                </c:pt>
                <c:pt idx="3">
                  <c:v>Q4 20</c:v>
                </c:pt>
                <c:pt idx="4">
                  <c:v>Q1 21</c:v>
                </c:pt>
                <c:pt idx="5">
                  <c:v>Q2 21</c:v>
                </c:pt>
                <c:pt idx="6">
                  <c:v>Q3 21</c:v>
                </c:pt>
              </c:strCache>
            </c:strRef>
          </c:cat>
          <c:val>
            <c:numRef>
              <c:f>Analysis!$C$398:$I$398</c:f>
              <c:numCache>
                <c:formatCode>0.0%</c:formatCode>
                <c:ptCount val="7"/>
                <c:pt idx="0">
                  <c:v>4.635497166409068E-2</c:v>
                </c:pt>
                <c:pt idx="1">
                  <c:v>5.9324712643678161E-2</c:v>
                </c:pt>
                <c:pt idx="2">
                  <c:v>5.3933566433566435E-2</c:v>
                </c:pt>
                <c:pt idx="3">
                  <c:v>4.5849431066419692E-2</c:v>
                </c:pt>
                <c:pt idx="4">
                  <c:v>4.3477697375526515E-2</c:v>
                </c:pt>
                <c:pt idx="5">
                  <c:v>4.0521978021978024E-2</c:v>
                </c:pt>
                <c:pt idx="6">
                  <c:v>3.7858719646799113E-2</c:v>
                </c:pt>
              </c:numCache>
            </c:numRef>
          </c:val>
          <c:extLst>
            <c:ext xmlns:c16="http://schemas.microsoft.com/office/drawing/2014/chart" uri="{C3380CC4-5D6E-409C-BE32-E72D297353CC}">
              <c16:uniqueId val="{00000000-2E06-4408-9892-A12EF15DAE42}"/>
            </c:ext>
          </c:extLst>
        </c:ser>
        <c:ser>
          <c:idx val="1"/>
          <c:order val="1"/>
          <c:tx>
            <c:strRef>
              <c:f>Analysis!$B$399</c:f>
              <c:strCache>
                <c:ptCount val="1"/>
                <c:pt idx="0">
                  <c:v>Net take-rate</c:v>
                </c:pt>
              </c:strCache>
            </c:strRef>
          </c:tx>
          <c:spPr>
            <a:solidFill>
              <a:srgbClr val="9999FF"/>
            </a:solidFill>
            <a:ln w="25400">
              <a:noFill/>
            </a:ln>
            <a:effectLst/>
          </c:spPr>
          <c:invertIfNegative val="0"/>
          <c:cat>
            <c:strRef>
              <c:f>Analysis!$C$397:$I$397</c:f>
              <c:strCache>
                <c:ptCount val="7"/>
                <c:pt idx="0">
                  <c:v>Q1 20</c:v>
                </c:pt>
                <c:pt idx="1">
                  <c:v>Q2 20</c:v>
                </c:pt>
                <c:pt idx="2">
                  <c:v>Q3 20</c:v>
                </c:pt>
                <c:pt idx="3">
                  <c:v>Q4 20</c:v>
                </c:pt>
                <c:pt idx="4">
                  <c:v>Q1 21</c:v>
                </c:pt>
                <c:pt idx="5">
                  <c:v>Q2 21</c:v>
                </c:pt>
                <c:pt idx="6">
                  <c:v>Q3 21</c:v>
                </c:pt>
              </c:strCache>
            </c:strRef>
          </c:cat>
          <c:val>
            <c:numRef>
              <c:f>Analysis!$C$399:$I$399</c:f>
              <c:numCache>
                <c:formatCode>0.0%</c:formatCode>
                <c:ptCount val="7"/>
                <c:pt idx="0">
                  <c:v>2.9435857805255029E-2</c:v>
                </c:pt>
                <c:pt idx="1">
                  <c:v>3.4690474668193014E-2</c:v>
                </c:pt>
                <c:pt idx="2">
                  <c:v>3.0982778655213761E-2</c:v>
                </c:pt>
                <c:pt idx="3">
                  <c:v>2.8465033045758748E-2</c:v>
                </c:pt>
                <c:pt idx="4">
                  <c:v>2.6233934550167405E-2</c:v>
                </c:pt>
                <c:pt idx="5">
                  <c:v>2.4244505494505492E-2</c:v>
                </c:pt>
                <c:pt idx="6">
                  <c:v>2.0112582781456955E-2</c:v>
                </c:pt>
              </c:numCache>
            </c:numRef>
          </c:val>
          <c:extLst>
            <c:ext xmlns:c16="http://schemas.microsoft.com/office/drawing/2014/chart" uri="{C3380CC4-5D6E-409C-BE32-E72D297353CC}">
              <c16:uniqueId val="{00000001-2E06-4408-9892-A12EF15DAE42}"/>
            </c:ext>
          </c:extLst>
        </c:ser>
        <c:dLbls>
          <c:showLegendKey val="0"/>
          <c:showVal val="0"/>
          <c:showCatName val="0"/>
          <c:showSerName val="0"/>
          <c:showPercent val="0"/>
          <c:showBubbleSize val="0"/>
        </c:dLbls>
        <c:gapWidth val="219"/>
        <c:overlap val="-27"/>
        <c:axId val="1933630175"/>
        <c:axId val="1933633503"/>
      </c:barChart>
      <c:catAx>
        <c:axId val="1933630175"/>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933633503"/>
        <c:crosses val="autoZero"/>
        <c:auto val="1"/>
        <c:lblAlgn val="ctr"/>
        <c:lblOffset val="100"/>
        <c:noMultiLvlLbl val="0"/>
      </c:catAx>
      <c:valAx>
        <c:axId val="1933633503"/>
        <c:scaling>
          <c:orientation val="minMax"/>
        </c:scaling>
        <c:delete val="0"/>
        <c:axPos val="l"/>
        <c:majorGridlines>
          <c:spPr>
            <a:ln w="3175" cap="flat" cmpd="sng" algn="ctr">
              <a:solidFill>
                <a:srgbClr val="C0C0C0"/>
              </a:solidFill>
              <a:prstDash val="solid"/>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933630175"/>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Analysis!$B$401</c:f>
              <c:strCache>
                <c:ptCount val="1"/>
                <c:pt idx="0">
                  <c:v>Gross margin</c:v>
                </c:pt>
              </c:strCache>
            </c:strRef>
          </c:tx>
          <c:spPr>
            <a:solidFill>
              <a:srgbClr val="000080"/>
            </a:solidFill>
            <a:ln w="25400">
              <a:noFill/>
            </a:ln>
            <a:effectLst/>
          </c:spPr>
          <c:invertIfNegative val="0"/>
          <c:cat>
            <c:strRef>
              <c:f>Analysis!$C$397:$I$397</c:f>
              <c:strCache>
                <c:ptCount val="7"/>
                <c:pt idx="0">
                  <c:v>Q1 20</c:v>
                </c:pt>
                <c:pt idx="1">
                  <c:v>Q2 20</c:v>
                </c:pt>
                <c:pt idx="2">
                  <c:v>Q3 20</c:v>
                </c:pt>
                <c:pt idx="3">
                  <c:v>Q4 20</c:v>
                </c:pt>
                <c:pt idx="4">
                  <c:v>Q1 21</c:v>
                </c:pt>
                <c:pt idx="5">
                  <c:v>Q2 21</c:v>
                </c:pt>
                <c:pt idx="6">
                  <c:v>Q3 21</c:v>
                </c:pt>
              </c:strCache>
            </c:strRef>
          </c:cat>
          <c:val>
            <c:numRef>
              <c:f>Analysis!$C$401:$I$401</c:f>
              <c:numCache>
                <c:formatCode>0.0%</c:formatCode>
                <c:ptCount val="7"/>
                <c:pt idx="0">
                  <c:v>0.61139205334815228</c:v>
                </c:pt>
                <c:pt idx="1">
                  <c:v>0.55814967304432062</c:v>
                </c:pt>
                <c:pt idx="2">
                  <c:v>0.54719611021069692</c:v>
                </c:pt>
                <c:pt idx="3">
                  <c:v>0.59654286786136845</c:v>
                </c:pt>
                <c:pt idx="4">
                  <c:v>0.5779759538950715</c:v>
                </c:pt>
                <c:pt idx="5">
                  <c:v>0.57288135593220335</c:v>
                </c:pt>
                <c:pt idx="6">
                  <c:v>0.50209912536443158</c:v>
                </c:pt>
              </c:numCache>
            </c:numRef>
          </c:val>
          <c:extLst>
            <c:ext xmlns:c16="http://schemas.microsoft.com/office/drawing/2014/chart" uri="{C3380CC4-5D6E-409C-BE32-E72D297353CC}">
              <c16:uniqueId val="{00000000-7FB4-4726-9500-5B0E96072E47}"/>
            </c:ext>
          </c:extLst>
        </c:ser>
        <c:ser>
          <c:idx val="1"/>
          <c:order val="1"/>
          <c:tx>
            <c:strRef>
              <c:f>Analysis!$B$402</c:f>
              <c:strCache>
                <c:ptCount val="1"/>
                <c:pt idx="0">
                  <c:v>EBITDA margin</c:v>
                </c:pt>
              </c:strCache>
            </c:strRef>
          </c:tx>
          <c:spPr>
            <a:solidFill>
              <a:srgbClr val="9999FF"/>
            </a:solidFill>
            <a:ln w="25400">
              <a:noFill/>
            </a:ln>
            <a:effectLst/>
          </c:spPr>
          <c:invertIfNegative val="0"/>
          <c:cat>
            <c:strRef>
              <c:f>Analysis!$C$397:$I$397</c:f>
              <c:strCache>
                <c:ptCount val="7"/>
                <c:pt idx="0">
                  <c:v>Q1 20</c:v>
                </c:pt>
                <c:pt idx="1">
                  <c:v>Q2 20</c:v>
                </c:pt>
                <c:pt idx="2">
                  <c:v>Q3 20</c:v>
                </c:pt>
                <c:pt idx="3">
                  <c:v>Q4 20</c:v>
                </c:pt>
                <c:pt idx="4">
                  <c:v>Q1 21</c:v>
                </c:pt>
                <c:pt idx="5">
                  <c:v>Q2 21</c:v>
                </c:pt>
                <c:pt idx="6">
                  <c:v>Q3 21</c:v>
                </c:pt>
              </c:strCache>
            </c:strRef>
          </c:cat>
          <c:val>
            <c:numRef>
              <c:f>Analysis!$C$402:$I$402</c:f>
              <c:numCache>
                <c:formatCode>0.0%</c:formatCode>
                <c:ptCount val="7"/>
                <c:pt idx="0">
                  <c:v>0.41305918310641843</c:v>
                </c:pt>
                <c:pt idx="1">
                  <c:v>0.40125938483894408</c:v>
                </c:pt>
                <c:pt idx="2">
                  <c:v>0.40625607779578604</c:v>
                </c:pt>
                <c:pt idx="3">
                  <c:v>0.39479987302686637</c:v>
                </c:pt>
                <c:pt idx="4">
                  <c:v>0.44318859300476948</c:v>
                </c:pt>
                <c:pt idx="5">
                  <c:v>0.43898305084745759</c:v>
                </c:pt>
                <c:pt idx="6">
                  <c:v>0.38338192419825079</c:v>
                </c:pt>
              </c:numCache>
            </c:numRef>
          </c:val>
          <c:extLst>
            <c:ext xmlns:c16="http://schemas.microsoft.com/office/drawing/2014/chart" uri="{C3380CC4-5D6E-409C-BE32-E72D297353CC}">
              <c16:uniqueId val="{00000001-7FB4-4726-9500-5B0E96072E47}"/>
            </c:ext>
          </c:extLst>
        </c:ser>
        <c:dLbls>
          <c:showLegendKey val="0"/>
          <c:showVal val="0"/>
          <c:showCatName val="0"/>
          <c:showSerName val="0"/>
          <c:showPercent val="0"/>
          <c:showBubbleSize val="0"/>
        </c:dLbls>
        <c:gapWidth val="219"/>
        <c:overlap val="-27"/>
        <c:axId val="1933630175"/>
        <c:axId val="1933633503"/>
      </c:barChart>
      <c:catAx>
        <c:axId val="1933630175"/>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933633503"/>
        <c:crosses val="autoZero"/>
        <c:auto val="1"/>
        <c:lblAlgn val="ctr"/>
        <c:lblOffset val="100"/>
        <c:noMultiLvlLbl val="0"/>
      </c:catAx>
      <c:valAx>
        <c:axId val="1933633503"/>
        <c:scaling>
          <c:orientation val="minMax"/>
        </c:scaling>
        <c:delete val="0"/>
        <c:axPos val="l"/>
        <c:majorGridlines>
          <c:spPr>
            <a:ln w="3175" cap="flat" cmpd="sng" algn="ctr">
              <a:solidFill>
                <a:srgbClr val="C0C0C0"/>
              </a:solidFill>
              <a:prstDash val="solid"/>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933630175"/>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Analysis!$C$414</c:f>
              <c:strCache>
                <c:ptCount val="1"/>
                <c:pt idx="0">
                  <c:v>01-Jan-22</c:v>
                </c:pt>
              </c:strCache>
            </c:strRef>
          </c:tx>
          <c:spPr>
            <a:solidFill>
              <a:srgbClr val="000080"/>
            </a:solidFill>
            <a:ln w="25400">
              <a:noFill/>
            </a:ln>
            <a:effectLst/>
          </c:spPr>
          <c:invertIfNegative val="0"/>
          <c:cat>
            <c:strRef>
              <c:f>Analysis!$B$415:$B$419</c:f>
              <c:strCache>
                <c:ptCount val="5"/>
                <c:pt idx="0">
                  <c:v>DLO</c:v>
                </c:pt>
                <c:pt idx="1">
                  <c:v>NU</c:v>
                </c:pt>
                <c:pt idx="2">
                  <c:v>Inter</c:v>
                </c:pt>
                <c:pt idx="3">
                  <c:v>STNE</c:v>
                </c:pt>
                <c:pt idx="4">
                  <c:v>PAGS</c:v>
                </c:pt>
              </c:strCache>
            </c:strRef>
          </c:cat>
          <c:val>
            <c:numRef>
              <c:f>Analysis!$C$415:$C$419</c:f>
              <c:numCache>
                <c:formatCode>General</c:formatCode>
                <c:ptCount val="5"/>
                <c:pt idx="0">
                  <c:v>47</c:v>
                </c:pt>
                <c:pt idx="1">
                  <c:v>20.2</c:v>
                </c:pt>
                <c:pt idx="2">
                  <c:v>11.5</c:v>
                </c:pt>
                <c:pt idx="3">
                  <c:v>5.3</c:v>
                </c:pt>
                <c:pt idx="4">
                  <c:v>5.7</c:v>
                </c:pt>
              </c:numCache>
            </c:numRef>
          </c:val>
          <c:extLst>
            <c:ext xmlns:c16="http://schemas.microsoft.com/office/drawing/2014/chart" uri="{C3380CC4-5D6E-409C-BE32-E72D297353CC}">
              <c16:uniqueId val="{00000000-C544-43F5-B86B-13D64683EB7A}"/>
            </c:ext>
          </c:extLst>
        </c:ser>
        <c:ser>
          <c:idx val="1"/>
          <c:order val="1"/>
          <c:tx>
            <c:strRef>
              <c:f>Analysis!$D$414</c:f>
              <c:strCache>
                <c:ptCount val="1"/>
                <c:pt idx="0">
                  <c:v>Current</c:v>
                </c:pt>
              </c:strCache>
            </c:strRef>
          </c:tx>
          <c:spPr>
            <a:solidFill>
              <a:srgbClr val="9999FF"/>
            </a:solidFill>
            <a:ln w="25400">
              <a:noFill/>
            </a:ln>
            <a:effectLst/>
          </c:spPr>
          <c:invertIfNegative val="0"/>
          <c:cat>
            <c:strRef>
              <c:f>Analysis!$B$415:$B$419</c:f>
              <c:strCache>
                <c:ptCount val="5"/>
                <c:pt idx="0">
                  <c:v>DLO</c:v>
                </c:pt>
                <c:pt idx="1">
                  <c:v>NU</c:v>
                </c:pt>
                <c:pt idx="2">
                  <c:v>Inter</c:v>
                </c:pt>
                <c:pt idx="3">
                  <c:v>STNE</c:v>
                </c:pt>
                <c:pt idx="4">
                  <c:v>PAGS</c:v>
                </c:pt>
              </c:strCache>
            </c:strRef>
          </c:cat>
          <c:val>
            <c:numRef>
              <c:f>Analysis!$D$415:$D$419</c:f>
              <c:numCache>
                <c:formatCode>General</c:formatCode>
                <c:ptCount val="5"/>
                <c:pt idx="0" formatCode="0.0">
                  <c:v>10.678679861454727</c:v>
                </c:pt>
                <c:pt idx="1">
                  <c:v>11.9</c:v>
                </c:pt>
                <c:pt idx="2">
                  <c:v>6.7</c:v>
                </c:pt>
                <c:pt idx="3">
                  <c:v>3.5</c:v>
                </c:pt>
                <c:pt idx="4">
                  <c:v>1.4</c:v>
                </c:pt>
              </c:numCache>
            </c:numRef>
          </c:val>
          <c:extLst>
            <c:ext xmlns:c16="http://schemas.microsoft.com/office/drawing/2014/chart" uri="{C3380CC4-5D6E-409C-BE32-E72D297353CC}">
              <c16:uniqueId val="{00000002-C544-43F5-B86B-13D64683EB7A}"/>
            </c:ext>
          </c:extLst>
        </c:ser>
        <c:dLbls>
          <c:showLegendKey val="0"/>
          <c:showVal val="0"/>
          <c:showCatName val="0"/>
          <c:showSerName val="0"/>
          <c:showPercent val="0"/>
          <c:showBubbleSize val="0"/>
        </c:dLbls>
        <c:gapWidth val="219"/>
        <c:overlap val="-27"/>
        <c:axId val="647484336"/>
        <c:axId val="647483088"/>
      </c:barChart>
      <c:catAx>
        <c:axId val="64748433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647483088"/>
        <c:crosses val="autoZero"/>
        <c:auto val="1"/>
        <c:lblAlgn val="ctr"/>
        <c:lblOffset val="100"/>
        <c:noMultiLvlLbl val="0"/>
      </c:catAx>
      <c:valAx>
        <c:axId val="647483088"/>
        <c:scaling>
          <c:orientation val="minMax"/>
        </c:scaling>
        <c:delete val="0"/>
        <c:axPos val="l"/>
        <c:majorGridlines>
          <c:spPr>
            <a:ln w="3175" cap="flat" cmpd="sng" algn="ctr">
              <a:solidFill>
                <a:srgbClr val="C0C0C0"/>
              </a:solidFill>
              <a:prstDash val="solid"/>
              <a:round/>
            </a:ln>
            <a:effectLst/>
          </c:spPr>
        </c:majorGridlines>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64748433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Analysis!$B$465</c:f>
              <c:strCache>
                <c:ptCount val="1"/>
                <c:pt idx="0">
                  <c:v>Revenue</c:v>
                </c:pt>
              </c:strCache>
            </c:strRef>
          </c:tx>
          <c:spPr>
            <a:ln w="25400" cap="rnd">
              <a:solidFill>
                <a:srgbClr val="333399"/>
              </a:solidFill>
              <a:prstDash val="solid"/>
              <a:round/>
            </a:ln>
            <a:effectLst/>
          </c:spPr>
          <c:marker>
            <c:symbol val="none"/>
          </c:marker>
          <c:cat>
            <c:numRef>
              <c:f>Analysis!$C$464:$L$464</c:f>
              <c:numCache>
                <c:formatCode>mmm\-yy</c:formatCode>
                <c:ptCount val="10"/>
                <c:pt idx="0">
                  <c:v>44409</c:v>
                </c:pt>
                <c:pt idx="1">
                  <c:v>44440</c:v>
                </c:pt>
                <c:pt idx="2">
                  <c:v>44470</c:v>
                </c:pt>
                <c:pt idx="3">
                  <c:v>44501</c:v>
                </c:pt>
                <c:pt idx="4">
                  <c:v>44531</c:v>
                </c:pt>
                <c:pt idx="5">
                  <c:v>44562</c:v>
                </c:pt>
                <c:pt idx="6">
                  <c:v>44593</c:v>
                </c:pt>
                <c:pt idx="7">
                  <c:v>44621</c:v>
                </c:pt>
                <c:pt idx="8">
                  <c:v>44652</c:v>
                </c:pt>
                <c:pt idx="9">
                  <c:v>44682</c:v>
                </c:pt>
              </c:numCache>
            </c:numRef>
          </c:cat>
          <c:val>
            <c:numRef>
              <c:f>Analysis!$C$465:$L$465</c:f>
              <c:numCache>
                <c:formatCode>General</c:formatCode>
                <c:ptCount val="10"/>
                <c:pt idx="0">
                  <c:v>316</c:v>
                </c:pt>
                <c:pt idx="1">
                  <c:v>389</c:v>
                </c:pt>
                <c:pt idx="2">
                  <c:v>400</c:v>
                </c:pt>
                <c:pt idx="3">
                  <c:v>397</c:v>
                </c:pt>
                <c:pt idx="4">
                  <c:v>410</c:v>
                </c:pt>
                <c:pt idx="5">
                  <c:v>415</c:v>
                </c:pt>
                <c:pt idx="6">
                  <c:v>415</c:v>
                </c:pt>
                <c:pt idx="7">
                  <c:v>416</c:v>
                </c:pt>
                <c:pt idx="8">
                  <c:v>416</c:v>
                </c:pt>
                <c:pt idx="9">
                  <c:v>416</c:v>
                </c:pt>
              </c:numCache>
            </c:numRef>
          </c:val>
          <c:smooth val="0"/>
          <c:extLst>
            <c:ext xmlns:c16="http://schemas.microsoft.com/office/drawing/2014/chart" uri="{C3380CC4-5D6E-409C-BE32-E72D297353CC}">
              <c16:uniqueId val="{00000000-2229-43E6-A3CC-40DFF3F804A7}"/>
            </c:ext>
          </c:extLst>
        </c:ser>
        <c:ser>
          <c:idx val="1"/>
          <c:order val="1"/>
          <c:tx>
            <c:strRef>
              <c:f>Analysis!$B$466</c:f>
              <c:strCache>
                <c:ptCount val="1"/>
                <c:pt idx="0">
                  <c:v>EBITDA</c:v>
                </c:pt>
              </c:strCache>
            </c:strRef>
          </c:tx>
          <c:spPr>
            <a:ln w="25400" cap="rnd">
              <a:solidFill>
                <a:srgbClr val="99CCFF"/>
              </a:solidFill>
              <a:prstDash val="solid"/>
              <a:round/>
            </a:ln>
            <a:effectLst/>
          </c:spPr>
          <c:marker>
            <c:symbol val="none"/>
          </c:marker>
          <c:cat>
            <c:numRef>
              <c:f>Analysis!$C$464:$L$464</c:f>
              <c:numCache>
                <c:formatCode>mmm\-yy</c:formatCode>
                <c:ptCount val="10"/>
                <c:pt idx="0">
                  <c:v>44409</c:v>
                </c:pt>
                <c:pt idx="1">
                  <c:v>44440</c:v>
                </c:pt>
                <c:pt idx="2">
                  <c:v>44470</c:v>
                </c:pt>
                <c:pt idx="3">
                  <c:v>44501</c:v>
                </c:pt>
                <c:pt idx="4">
                  <c:v>44531</c:v>
                </c:pt>
                <c:pt idx="5">
                  <c:v>44562</c:v>
                </c:pt>
                <c:pt idx="6">
                  <c:v>44593</c:v>
                </c:pt>
                <c:pt idx="7">
                  <c:v>44621</c:v>
                </c:pt>
                <c:pt idx="8">
                  <c:v>44652</c:v>
                </c:pt>
                <c:pt idx="9">
                  <c:v>44682</c:v>
                </c:pt>
              </c:numCache>
            </c:numRef>
          </c:cat>
          <c:val>
            <c:numRef>
              <c:f>Analysis!$C$466:$L$466</c:f>
              <c:numCache>
                <c:formatCode>General</c:formatCode>
                <c:ptCount val="10"/>
                <c:pt idx="0">
                  <c:v>145</c:v>
                </c:pt>
                <c:pt idx="1">
                  <c:v>167</c:v>
                </c:pt>
                <c:pt idx="2">
                  <c:v>168</c:v>
                </c:pt>
                <c:pt idx="3">
                  <c:v>152</c:v>
                </c:pt>
                <c:pt idx="4">
                  <c:v>145</c:v>
                </c:pt>
                <c:pt idx="5">
                  <c:v>152</c:v>
                </c:pt>
                <c:pt idx="6">
                  <c:v>151</c:v>
                </c:pt>
                <c:pt idx="7">
                  <c:v>152</c:v>
                </c:pt>
                <c:pt idx="8">
                  <c:v>154</c:v>
                </c:pt>
                <c:pt idx="9">
                  <c:v>154</c:v>
                </c:pt>
              </c:numCache>
            </c:numRef>
          </c:val>
          <c:smooth val="0"/>
          <c:extLst>
            <c:ext xmlns:c16="http://schemas.microsoft.com/office/drawing/2014/chart" uri="{C3380CC4-5D6E-409C-BE32-E72D297353CC}">
              <c16:uniqueId val="{00000001-2229-43E6-A3CC-40DFF3F804A7}"/>
            </c:ext>
          </c:extLst>
        </c:ser>
        <c:dLbls>
          <c:showLegendKey val="0"/>
          <c:showVal val="0"/>
          <c:showCatName val="0"/>
          <c:showSerName val="0"/>
          <c:showPercent val="0"/>
          <c:showBubbleSize val="0"/>
        </c:dLbls>
        <c:smooth val="0"/>
        <c:axId val="1889412335"/>
        <c:axId val="1889424815"/>
      </c:lineChart>
      <c:dateAx>
        <c:axId val="1889412335"/>
        <c:scaling>
          <c:orientation val="minMax"/>
        </c:scaling>
        <c:delete val="0"/>
        <c:axPos val="b"/>
        <c:numFmt formatCode="mmm\-yy"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889424815"/>
        <c:crosses val="autoZero"/>
        <c:auto val="1"/>
        <c:lblOffset val="100"/>
        <c:baseTimeUnit val="months"/>
      </c:dateAx>
      <c:valAx>
        <c:axId val="1889424815"/>
        <c:scaling>
          <c:orientation val="minMax"/>
        </c:scaling>
        <c:delete val="0"/>
        <c:axPos val="l"/>
        <c:majorGridlines>
          <c:spPr>
            <a:ln w="3175" cap="flat" cmpd="sng" algn="ctr">
              <a:solidFill>
                <a:srgbClr val="C0C0C0"/>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r>
                  <a:rPr lang="en-US"/>
                  <a:t>USD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title>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889412335"/>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cat>
            <c:strRef>
              <c:f>Analysis!$B$29:$B$40</c:f>
              <c:strCache>
                <c:ptCount val="12"/>
                <c:pt idx="0">
                  <c:v>Chile</c:v>
                </c:pt>
                <c:pt idx="1">
                  <c:v>Mexico</c:v>
                </c:pt>
                <c:pt idx="2">
                  <c:v>Other</c:v>
                </c:pt>
                <c:pt idx="3">
                  <c:v>Colombia</c:v>
                </c:pt>
                <c:pt idx="4">
                  <c:v>India</c:v>
                </c:pt>
                <c:pt idx="5">
                  <c:v>Peru</c:v>
                </c:pt>
                <c:pt idx="6">
                  <c:v>dLocal countries average</c:v>
                </c:pt>
                <c:pt idx="7">
                  <c:v>Nigeria</c:v>
                </c:pt>
                <c:pt idx="8">
                  <c:v>Turkey</c:v>
                </c:pt>
                <c:pt idx="9">
                  <c:v>Indonesia</c:v>
                </c:pt>
                <c:pt idx="10">
                  <c:v>Brazil</c:v>
                </c:pt>
                <c:pt idx="11">
                  <c:v>Argentina</c:v>
                </c:pt>
              </c:strCache>
            </c:strRef>
          </c:cat>
          <c:val>
            <c:numRef>
              <c:f>Analysis!$C$29:$C$40</c:f>
              <c:numCache>
                <c:formatCode>0%</c:formatCode>
                <c:ptCount val="12"/>
                <c:pt idx="0">
                  <c:v>0.27272727272727276</c:v>
                </c:pt>
                <c:pt idx="1">
                  <c:v>0.216</c:v>
                </c:pt>
                <c:pt idx="2">
                  <c:v>0.21161290322580636</c:v>
                </c:pt>
                <c:pt idx="3">
                  <c:v>0.18238993710691823</c:v>
                </c:pt>
                <c:pt idx="4">
                  <c:v>0.18011695906432748</c:v>
                </c:pt>
                <c:pt idx="5">
                  <c:v>0.15</c:v>
                </c:pt>
                <c:pt idx="6">
                  <c:v>0.14157303370786517</c:v>
                </c:pt>
                <c:pt idx="7">
                  <c:v>0.10638297872340426</c:v>
                </c:pt>
                <c:pt idx="8">
                  <c:v>8.5106382978723402E-2</c:v>
                </c:pt>
                <c:pt idx="9">
                  <c:v>8.296943231441048E-2</c:v>
                </c:pt>
                <c:pt idx="10">
                  <c:v>6.480648064806481E-2</c:v>
                </c:pt>
                <c:pt idx="11">
                  <c:v>3.2520325203252029E-2</c:v>
                </c:pt>
              </c:numCache>
            </c:numRef>
          </c:val>
          <c:extLst>
            <c:ext xmlns:c16="http://schemas.microsoft.com/office/drawing/2014/chart" uri="{C3380CC4-5D6E-409C-BE32-E72D297353CC}">
              <c16:uniqueId val="{00000000-DF26-41BC-8208-76C751DC3D65}"/>
            </c:ext>
          </c:extLst>
        </c:ser>
        <c:dLbls>
          <c:showLegendKey val="0"/>
          <c:showVal val="0"/>
          <c:showCatName val="0"/>
          <c:showSerName val="0"/>
          <c:showPercent val="0"/>
          <c:showBubbleSize val="0"/>
        </c:dLbls>
        <c:gapWidth val="219"/>
        <c:overlap val="-27"/>
        <c:axId val="708346600"/>
        <c:axId val="708344304"/>
      </c:barChart>
      <c:catAx>
        <c:axId val="70834660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708344304"/>
        <c:crosses val="autoZero"/>
        <c:auto val="1"/>
        <c:lblAlgn val="ctr"/>
        <c:lblOffset val="100"/>
        <c:noMultiLvlLbl val="0"/>
      </c:catAx>
      <c:valAx>
        <c:axId val="708344304"/>
        <c:scaling>
          <c:orientation val="minMax"/>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708346600"/>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Analysis!$B$465</c:f>
              <c:strCache>
                <c:ptCount val="1"/>
                <c:pt idx="0">
                  <c:v>Revenue</c:v>
                </c:pt>
              </c:strCache>
            </c:strRef>
          </c:tx>
          <c:spPr>
            <a:ln w="28575" cap="rnd">
              <a:solidFill>
                <a:schemeClr val="accent1"/>
              </a:solidFill>
              <a:round/>
            </a:ln>
            <a:effectLst/>
          </c:spPr>
          <c:marker>
            <c:symbol val="none"/>
          </c:marker>
          <c:cat>
            <c:numRef>
              <c:f>Analysis!$C$464:$L$464</c:f>
              <c:numCache>
                <c:formatCode>mmm\-yy</c:formatCode>
                <c:ptCount val="10"/>
                <c:pt idx="0">
                  <c:v>44409</c:v>
                </c:pt>
                <c:pt idx="1">
                  <c:v>44440</c:v>
                </c:pt>
                <c:pt idx="2">
                  <c:v>44470</c:v>
                </c:pt>
                <c:pt idx="3">
                  <c:v>44501</c:v>
                </c:pt>
                <c:pt idx="4">
                  <c:v>44531</c:v>
                </c:pt>
                <c:pt idx="5">
                  <c:v>44562</c:v>
                </c:pt>
                <c:pt idx="6">
                  <c:v>44593</c:v>
                </c:pt>
                <c:pt idx="7">
                  <c:v>44621</c:v>
                </c:pt>
                <c:pt idx="8">
                  <c:v>44652</c:v>
                </c:pt>
                <c:pt idx="9">
                  <c:v>44682</c:v>
                </c:pt>
              </c:numCache>
            </c:numRef>
          </c:cat>
          <c:val>
            <c:numRef>
              <c:f>Analysis!$C$467:$L$467</c:f>
              <c:numCache>
                <c:formatCode>0%</c:formatCode>
                <c:ptCount val="10"/>
                <c:pt idx="0">
                  <c:v>0.45886075949367089</c:v>
                </c:pt>
                <c:pt idx="1">
                  <c:v>0.42930591259640105</c:v>
                </c:pt>
                <c:pt idx="2">
                  <c:v>0.42</c:v>
                </c:pt>
                <c:pt idx="3">
                  <c:v>0.38287153652392947</c:v>
                </c:pt>
                <c:pt idx="4">
                  <c:v>0.35365853658536583</c:v>
                </c:pt>
                <c:pt idx="5">
                  <c:v>0.36626506024096384</c:v>
                </c:pt>
                <c:pt idx="6">
                  <c:v>0.363855421686747</c:v>
                </c:pt>
                <c:pt idx="7">
                  <c:v>0.36538461538461536</c:v>
                </c:pt>
                <c:pt idx="8">
                  <c:v>0.37019230769230771</c:v>
                </c:pt>
                <c:pt idx="9">
                  <c:v>0.37019230769230771</c:v>
                </c:pt>
              </c:numCache>
            </c:numRef>
          </c:val>
          <c:smooth val="0"/>
          <c:extLst>
            <c:ext xmlns:c16="http://schemas.microsoft.com/office/drawing/2014/chart" uri="{C3380CC4-5D6E-409C-BE32-E72D297353CC}">
              <c16:uniqueId val="{00000000-F945-47F9-AE7B-AB3AD5C5CE07}"/>
            </c:ext>
          </c:extLst>
        </c:ser>
        <c:dLbls>
          <c:showLegendKey val="0"/>
          <c:showVal val="0"/>
          <c:showCatName val="0"/>
          <c:showSerName val="0"/>
          <c:showPercent val="0"/>
          <c:showBubbleSize val="0"/>
        </c:dLbls>
        <c:smooth val="0"/>
        <c:axId val="1889412335"/>
        <c:axId val="1889424815"/>
      </c:lineChart>
      <c:dateAx>
        <c:axId val="1889412335"/>
        <c:scaling>
          <c:orientation val="minMax"/>
        </c:scaling>
        <c:delete val="0"/>
        <c:axPos val="b"/>
        <c:numFmt formatCode="mmm\-yy"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889424815"/>
        <c:crosses val="autoZero"/>
        <c:auto val="1"/>
        <c:lblOffset val="100"/>
        <c:baseTimeUnit val="months"/>
      </c:dateAx>
      <c:valAx>
        <c:axId val="1889424815"/>
        <c:scaling>
          <c:orientation val="minMax"/>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88941233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Group</c:v>
          </c:tx>
          <c:spPr>
            <a:ln w="25400" cap="rnd">
              <a:solidFill>
                <a:srgbClr val="26323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Analysis!$D$492:$K$492</c:f>
              <c:strCache>
                <c:ptCount val="8"/>
                <c:pt idx="0">
                  <c:v>Q1 21</c:v>
                </c:pt>
                <c:pt idx="1">
                  <c:v>Q2 21</c:v>
                </c:pt>
                <c:pt idx="2">
                  <c:v>Q3 21</c:v>
                </c:pt>
                <c:pt idx="3">
                  <c:v>Q4 21</c:v>
                </c:pt>
                <c:pt idx="4">
                  <c:v>Q1 22</c:v>
                </c:pt>
                <c:pt idx="5">
                  <c:v>Q2 22</c:v>
                </c:pt>
                <c:pt idx="6">
                  <c:v>Q3 22</c:v>
                </c:pt>
                <c:pt idx="7">
                  <c:v>Q4 22</c:v>
                </c:pt>
              </c:strCache>
            </c:strRef>
          </c:cat>
          <c:val>
            <c:numRef>
              <c:f>Analysis!$D$501:$K$501</c:f>
              <c:numCache>
                <c:formatCode>0.0%</c:formatCode>
                <c:ptCount val="8"/>
                <c:pt idx="0">
                  <c:v>4.3477697375526515E-2</c:v>
                </c:pt>
                <c:pt idx="1">
                  <c:v>4.0521978021978024E-2</c:v>
                </c:pt>
                <c:pt idx="2">
                  <c:v>3.7858719646799113E-2</c:v>
                </c:pt>
                <c:pt idx="3">
                  <c:v>4.1109913793103449E-2</c:v>
                </c:pt>
                <c:pt idx="4">
                  <c:v>4.1587452471482891E-2</c:v>
                </c:pt>
                <c:pt idx="5">
                  <c:v>4.1594739005343197E-2</c:v>
                </c:pt>
                <c:pt idx="6">
                  <c:v>4.0929041697147041E-2</c:v>
                </c:pt>
                <c:pt idx="7">
                  <c:v>3.5922330097087382E-2</c:v>
                </c:pt>
              </c:numCache>
            </c:numRef>
          </c:val>
          <c:smooth val="0"/>
          <c:extLst>
            <c:ext xmlns:c16="http://schemas.microsoft.com/office/drawing/2014/chart" uri="{C3380CC4-5D6E-409C-BE32-E72D297353CC}">
              <c16:uniqueId val="{00000000-4C19-4D45-A4F4-536C22C6E094}"/>
            </c:ext>
          </c:extLst>
        </c:ser>
        <c:ser>
          <c:idx val="1"/>
          <c:order val="1"/>
          <c:tx>
            <c:strRef>
              <c:f>Analysis!$B$503</c:f>
              <c:strCache>
                <c:ptCount val="1"/>
                <c:pt idx="0">
                  <c:v>Rest of Group</c:v>
                </c:pt>
              </c:strCache>
            </c:strRef>
          </c:tx>
          <c:spPr>
            <a:ln w="25400" cap="rnd">
              <a:solidFill>
                <a:srgbClr val="79909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Analysis!$D$492:$K$492</c:f>
              <c:strCache>
                <c:ptCount val="8"/>
                <c:pt idx="0">
                  <c:v>Q1 21</c:v>
                </c:pt>
                <c:pt idx="1">
                  <c:v>Q2 21</c:v>
                </c:pt>
                <c:pt idx="2">
                  <c:v>Q3 21</c:v>
                </c:pt>
                <c:pt idx="3">
                  <c:v>Q4 21</c:v>
                </c:pt>
                <c:pt idx="4">
                  <c:v>Q1 22</c:v>
                </c:pt>
                <c:pt idx="5">
                  <c:v>Q2 22</c:v>
                </c:pt>
                <c:pt idx="6">
                  <c:v>Q3 22</c:v>
                </c:pt>
                <c:pt idx="7">
                  <c:v>Q4 22</c:v>
                </c:pt>
              </c:strCache>
            </c:strRef>
          </c:cat>
          <c:val>
            <c:numRef>
              <c:f>Analysis!$D$503:$K$503</c:f>
              <c:numCache>
                <c:formatCode>0.0%</c:formatCode>
                <c:ptCount val="8"/>
                <c:pt idx="0">
                  <c:v>3.6402965123344268E-2</c:v>
                </c:pt>
                <c:pt idx="1">
                  <c:v>3.5565476190476189E-2</c:v>
                </c:pt>
                <c:pt idx="2">
                  <c:v>3.2816229116945102E-2</c:v>
                </c:pt>
                <c:pt idx="3">
                  <c:v>3.5894428152492663E-2</c:v>
                </c:pt>
                <c:pt idx="4">
                  <c:v>3.5076597992604333E-2</c:v>
                </c:pt>
                <c:pt idx="5">
                  <c:v>3.543843707405725E-2</c:v>
                </c:pt>
                <c:pt idx="6">
                  <c:v>3.6492331891466778E-2</c:v>
                </c:pt>
                <c:pt idx="7">
                  <c:v>3.3037412809131264E-2</c:v>
                </c:pt>
              </c:numCache>
            </c:numRef>
          </c:val>
          <c:smooth val="0"/>
          <c:extLst>
            <c:ext xmlns:c16="http://schemas.microsoft.com/office/drawing/2014/chart" uri="{C3380CC4-5D6E-409C-BE32-E72D297353CC}">
              <c16:uniqueId val="{00000002-4C19-4D45-A4F4-536C22C6E094}"/>
            </c:ext>
          </c:extLst>
        </c:ser>
        <c:dLbls>
          <c:showLegendKey val="0"/>
          <c:showVal val="0"/>
          <c:showCatName val="0"/>
          <c:showSerName val="0"/>
          <c:showPercent val="0"/>
          <c:showBubbleSize val="0"/>
        </c:dLbls>
        <c:smooth val="0"/>
        <c:axId val="1009448192"/>
        <c:axId val="922727008"/>
      </c:lineChart>
      <c:catAx>
        <c:axId val="100944819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922727008"/>
        <c:crosses val="autoZero"/>
        <c:auto val="1"/>
        <c:lblAlgn val="ctr"/>
        <c:lblOffset val="100"/>
        <c:noMultiLvlLbl val="0"/>
      </c:catAx>
      <c:valAx>
        <c:axId val="922727008"/>
        <c:scaling>
          <c:orientation val="minMax"/>
          <c:min val="3.0000000000000006E-2"/>
        </c:scaling>
        <c:delete val="0"/>
        <c:axPos val="l"/>
        <c:numFmt formatCode="0.0%" sourceLinked="1"/>
        <c:majorTickMark val="out"/>
        <c:minorTickMark val="none"/>
        <c:tickLblPos val="nextTo"/>
        <c:spPr>
          <a:noFill/>
          <a:ln>
            <a:solidFill>
              <a:srgbClr val="B3B3B3"/>
            </a:solid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009448192"/>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Analysis!$B$538</c:f>
              <c:strCache>
                <c:ptCount val="1"/>
                <c:pt idx="0">
                  <c:v>EBITDA margin (NSR)</c:v>
                </c:pt>
              </c:strCache>
            </c:strRef>
          </c:tx>
          <c:spPr>
            <a:solidFill>
              <a:srgbClr val="263238"/>
            </a:solidFill>
            <a:ln w="25400">
              <a:noFill/>
              <a:prstDash val="solid"/>
            </a:ln>
            <a:effectLst/>
            <a:extLst>
              <a:ext uri="{91240B29-F687-4F45-9708-019B960494DF}">
                <a14:hiddenLine xmlns:a14="http://schemas.microsoft.com/office/drawing/2010/main" w="25400">
                  <a:solidFill>
                    <a:srgbClr val="263238"/>
                  </a:solidFill>
                  <a:prstDash val="solid"/>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Analysis!$C$537:$G$537</c:f>
              <c:numCache>
                <c:formatCode>General</c:formatCode>
                <c:ptCount val="5"/>
                <c:pt idx="0">
                  <c:v>2022</c:v>
                </c:pt>
                <c:pt idx="1">
                  <c:v>2023</c:v>
                </c:pt>
                <c:pt idx="2">
                  <c:v>2024</c:v>
                </c:pt>
                <c:pt idx="3">
                  <c:v>2025</c:v>
                </c:pt>
                <c:pt idx="4">
                  <c:v>2026</c:v>
                </c:pt>
              </c:numCache>
            </c:numRef>
          </c:cat>
          <c:val>
            <c:numRef>
              <c:f>Analysis!$C$538:$G$538</c:f>
              <c:numCache>
                <c:formatCode>0%</c:formatCode>
                <c:ptCount val="5"/>
                <c:pt idx="0">
                  <c:v>0.75742206828302827</c:v>
                </c:pt>
                <c:pt idx="1">
                  <c:v>0.73056755312233679</c:v>
                </c:pt>
                <c:pt idx="2">
                  <c:v>0.68020343716396225</c:v>
                </c:pt>
                <c:pt idx="3">
                  <c:v>0.72720872479646725</c:v>
                </c:pt>
                <c:pt idx="4">
                  <c:v>0.7236632069612865</c:v>
                </c:pt>
              </c:numCache>
            </c:numRef>
          </c:val>
          <c:extLst>
            <c:ext xmlns:c16="http://schemas.microsoft.com/office/drawing/2014/chart" uri="{C3380CC4-5D6E-409C-BE32-E72D297353CC}">
              <c16:uniqueId val="{00000000-E059-4E53-B818-D2DA161A34AE}"/>
            </c:ext>
          </c:extLst>
        </c:ser>
        <c:ser>
          <c:idx val="1"/>
          <c:order val="2"/>
          <c:tx>
            <c:strRef>
              <c:f>Analysis!$B$539</c:f>
              <c:strCache>
                <c:ptCount val="1"/>
                <c:pt idx="0">
                  <c:v>EBITDA margin (Consensus)</c:v>
                </c:pt>
              </c:strCache>
            </c:strRef>
          </c:tx>
          <c:spPr>
            <a:solidFill>
              <a:schemeClr val="accent2"/>
            </a:solidFill>
            <a:ln>
              <a:noFill/>
            </a:ln>
            <a:effectLst/>
          </c:spPr>
          <c:invertIfNegative val="0"/>
          <c:cat>
            <c:numRef>
              <c:f>Analysis!$C$537:$G$537</c:f>
              <c:numCache>
                <c:formatCode>General</c:formatCode>
                <c:ptCount val="5"/>
                <c:pt idx="0">
                  <c:v>2022</c:v>
                </c:pt>
                <c:pt idx="1">
                  <c:v>2023</c:v>
                </c:pt>
                <c:pt idx="2">
                  <c:v>2024</c:v>
                </c:pt>
                <c:pt idx="3">
                  <c:v>2025</c:v>
                </c:pt>
                <c:pt idx="4">
                  <c:v>2026</c:v>
                </c:pt>
              </c:numCache>
            </c:numRef>
          </c:cat>
          <c:val>
            <c:numRef>
              <c:f>Analysis!$C$539:$G$539</c:f>
              <c:numCache>
                <c:formatCode>0%</c:formatCode>
                <c:ptCount val="5"/>
                <c:pt idx="1">
                  <c:v>0.73056755312233679</c:v>
                </c:pt>
                <c:pt idx="2">
                  <c:v>0.67048710601719197</c:v>
                </c:pt>
                <c:pt idx="3">
                  <c:v>0.69313304721030045</c:v>
                </c:pt>
                <c:pt idx="4">
                  <c:v>0.71476510067114096</c:v>
                </c:pt>
              </c:numCache>
            </c:numRef>
          </c:val>
          <c:extLst>
            <c:ext xmlns:c16="http://schemas.microsoft.com/office/drawing/2014/chart" uri="{C3380CC4-5D6E-409C-BE32-E72D297353CC}">
              <c16:uniqueId val="{00000000-EA99-479B-9B22-F0532ADA1607}"/>
            </c:ext>
          </c:extLst>
        </c:ser>
        <c:dLbls>
          <c:showLegendKey val="0"/>
          <c:showVal val="0"/>
          <c:showCatName val="0"/>
          <c:showSerName val="0"/>
          <c:showPercent val="0"/>
          <c:showBubbleSize val="0"/>
        </c:dLbls>
        <c:gapWidth val="150"/>
        <c:axId val="1924486384"/>
        <c:axId val="1869387664"/>
      </c:barChart>
      <c:lineChart>
        <c:grouping val="standard"/>
        <c:varyColors val="0"/>
        <c:ser>
          <c:idx val="2"/>
          <c:order val="1"/>
          <c:tx>
            <c:strRef>
              <c:f>Analysis!$B$540</c:f>
              <c:strCache>
                <c:ptCount val="1"/>
                <c:pt idx="0">
                  <c:v>Mid-term guide (greater than)</c:v>
                </c:pt>
              </c:strCache>
            </c:strRef>
          </c:tx>
          <c:spPr>
            <a:ln w="25400" cap="rnd">
              <a:solidFill>
                <a:srgbClr val="799098"/>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Analysis!$C$537:$G$537</c:f>
              <c:numCache>
                <c:formatCode>General</c:formatCode>
                <c:ptCount val="5"/>
                <c:pt idx="0">
                  <c:v>2022</c:v>
                </c:pt>
                <c:pt idx="1">
                  <c:v>2023</c:v>
                </c:pt>
                <c:pt idx="2">
                  <c:v>2024</c:v>
                </c:pt>
                <c:pt idx="3">
                  <c:v>2025</c:v>
                </c:pt>
                <c:pt idx="4">
                  <c:v>2026</c:v>
                </c:pt>
              </c:numCache>
            </c:numRef>
          </c:cat>
          <c:val>
            <c:numRef>
              <c:f>Analysis!$C$540:$G$540</c:f>
              <c:numCache>
                <c:formatCode>0%</c:formatCode>
                <c:ptCount val="5"/>
                <c:pt idx="1">
                  <c:v>0.75</c:v>
                </c:pt>
                <c:pt idx="2">
                  <c:v>0.75</c:v>
                </c:pt>
                <c:pt idx="3">
                  <c:v>0.75</c:v>
                </c:pt>
                <c:pt idx="4">
                  <c:v>0.75</c:v>
                </c:pt>
              </c:numCache>
            </c:numRef>
          </c:val>
          <c:smooth val="0"/>
          <c:extLst>
            <c:ext xmlns:c16="http://schemas.microsoft.com/office/drawing/2014/chart" uri="{C3380CC4-5D6E-409C-BE32-E72D297353CC}">
              <c16:uniqueId val="{00000002-E059-4E53-B818-D2DA161A34AE}"/>
            </c:ext>
          </c:extLst>
        </c:ser>
        <c:dLbls>
          <c:showLegendKey val="0"/>
          <c:showVal val="0"/>
          <c:showCatName val="0"/>
          <c:showSerName val="0"/>
          <c:showPercent val="0"/>
          <c:showBubbleSize val="0"/>
        </c:dLbls>
        <c:marker val="1"/>
        <c:smooth val="0"/>
        <c:axId val="1924486384"/>
        <c:axId val="1869387664"/>
      </c:lineChart>
      <c:catAx>
        <c:axId val="1924486384"/>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869387664"/>
        <c:crosses val="autoZero"/>
        <c:auto val="1"/>
        <c:lblAlgn val="ctr"/>
        <c:lblOffset val="100"/>
        <c:noMultiLvlLbl val="0"/>
      </c:catAx>
      <c:valAx>
        <c:axId val="1869387664"/>
        <c:scaling>
          <c:orientation val="minMax"/>
        </c:scaling>
        <c:delete val="1"/>
        <c:axPos val="l"/>
        <c:numFmt formatCode="0%" sourceLinked="1"/>
        <c:majorTickMark val="out"/>
        <c:minorTickMark val="none"/>
        <c:tickLblPos val="nextTo"/>
        <c:crossAx val="192448638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Analysis!$B$558</c:f>
              <c:strCache>
                <c:ptCount val="1"/>
                <c:pt idx="0">
                  <c:v>Employees</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Analysis!$D$558:$J$558</c:f>
              <c:numCache>
                <c:formatCode>General</c:formatCode>
                <c:ptCount val="7"/>
                <c:pt idx="0">
                  <c:v>562</c:v>
                </c:pt>
                <c:pt idx="1">
                  <c:v>632</c:v>
                </c:pt>
                <c:pt idx="2">
                  <c:v>712</c:v>
                </c:pt>
                <c:pt idx="3">
                  <c:v>726</c:v>
                </c:pt>
                <c:pt idx="4">
                  <c:v>763</c:v>
                </c:pt>
                <c:pt idx="5">
                  <c:v>806</c:v>
                </c:pt>
                <c:pt idx="6">
                  <c:v>867</c:v>
                </c:pt>
              </c:numCache>
            </c:numRef>
          </c:val>
          <c:extLst>
            <c:ext xmlns:c16="http://schemas.microsoft.com/office/drawing/2014/chart" uri="{C3380CC4-5D6E-409C-BE32-E72D297353CC}">
              <c16:uniqueId val="{00000001-4D1E-46AD-8B6C-F28976C71A93}"/>
            </c:ext>
          </c:extLst>
        </c:ser>
        <c:dLbls>
          <c:showLegendKey val="0"/>
          <c:showVal val="0"/>
          <c:showCatName val="0"/>
          <c:showSerName val="0"/>
          <c:showPercent val="0"/>
          <c:showBubbleSize val="0"/>
        </c:dLbls>
        <c:gapWidth val="30"/>
        <c:axId val="245874671"/>
        <c:axId val="1908531343"/>
      </c:barChart>
      <c:lineChart>
        <c:grouping val="standard"/>
        <c:varyColors val="0"/>
        <c:ser>
          <c:idx val="0"/>
          <c:order val="0"/>
          <c:tx>
            <c:strRef>
              <c:f>Analysis!$B$564</c:f>
              <c:strCache>
                <c:ptCount val="1"/>
                <c:pt idx="0">
                  <c:v>Wages/comp as % revenue</c:v>
                </c:pt>
              </c:strCache>
            </c:strRef>
          </c:tx>
          <c:spPr>
            <a:ln w="28575" cap="rnd">
              <a:solidFill>
                <a:schemeClr val="tx1"/>
              </a:solidFill>
              <a:round/>
            </a:ln>
            <a:effectLst/>
          </c:spPr>
          <c:marker>
            <c:symbol val="none"/>
          </c:marker>
          <c:dLbls>
            <c:spPr>
              <a:solidFill>
                <a:srgbClr val="799098"/>
              </a:solidFill>
              <a:ln>
                <a:solidFill>
                  <a:schemeClr val="tx1"/>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Analysis!$D$557:$J$557</c:f>
              <c:strCache>
                <c:ptCount val="7"/>
                <c:pt idx="0">
                  <c:v>Q1 22</c:v>
                </c:pt>
                <c:pt idx="1">
                  <c:v>Q2 22</c:v>
                </c:pt>
                <c:pt idx="2">
                  <c:v>Q3 22</c:v>
                </c:pt>
                <c:pt idx="3">
                  <c:v>Q4 22</c:v>
                </c:pt>
                <c:pt idx="4">
                  <c:v>Q1 23</c:v>
                </c:pt>
                <c:pt idx="5">
                  <c:v>Q2 23</c:v>
                </c:pt>
                <c:pt idx="6">
                  <c:v>Q3 23</c:v>
                </c:pt>
              </c:strCache>
            </c:strRef>
          </c:cat>
          <c:val>
            <c:numRef>
              <c:f>Analysis!$D$564:$J$564</c:f>
              <c:numCache>
                <c:formatCode>0%</c:formatCode>
                <c:ptCount val="7"/>
                <c:pt idx="0">
                  <c:v>4.4121475054229926E-2</c:v>
                </c:pt>
                <c:pt idx="1">
                  <c:v>2.3819577735124761E-2</c:v>
                </c:pt>
                <c:pt idx="2">
                  <c:v>2.8240904274108088E-2</c:v>
                </c:pt>
                <c:pt idx="3">
                  <c:v>6.5770166928481422E-2</c:v>
                </c:pt>
                <c:pt idx="4">
                  <c:v>7.0735068912710544E-2</c:v>
                </c:pt>
                <c:pt idx="5">
                  <c:v>5.4364123159303869E-2</c:v>
                </c:pt>
                <c:pt idx="6">
                  <c:v>8.9002181301679098E-2</c:v>
                </c:pt>
              </c:numCache>
            </c:numRef>
          </c:val>
          <c:smooth val="0"/>
          <c:extLst>
            <c:ext xmlns:c16="http://schemas.microsoft.com/office/drawing/2014/chart" uri="{C3380CC4-5D6E-409C-BE32-E72D297353CC}">
              <c16:uniqueId val="{00000000-4D1E-46AD-8B6C-F28976C71A93}"/>
            </c:ext>
          </c:extLst>
        </c:ser>
        <c:dLbls>
          <c:showLegendKey val="0"/>
          <c:showVal val="0"/>
          <c:showCatName val="0"/>
          <c:showSerName val="0"/>
          <c:showPercent val="0"/>
          <c:showBubbleSize val="0"/>
        </c:dLbls>
        <c:marker val="1"/>
        <c:smooth val="0"/>
        <c:axId val="245906831"/>
        <c:axId val="2063320959"/>
      </c:lineChart>
      <c:catAx>
        <c:axId val="245906831"/>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063320959"/>
        <c:crosses val="autoZero"/>
        <c:auto val="1"/>
        <c:lblAlgn val="ctr"/>
        <c:lblOffset val="100"/>
        <c:noMultiLvlLbl val="0"/>
      </c:catAx>
      <c:valAx>
        <c:axId val="2063320959"/>
        <c:scaling>
          <c:orientation val="minMax"/>
        </c:scaling>
        <c:delete val="0"/>
        <c:axPos val="l"/>
        <c:numFmt formatCode="0%" sourceLinked="1"/>
        <c:majorTickMark val="out"/>
        <c:minorTickMark val="none"/>
        <c:tickLblPos val="nextTo"/>
        <c:spPr>
          <a:noFill/>
          <a:ln>
            <a:solidFill>
              <a:srgbClr val="B3B3B3"/>
            </a:solid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45906831"/>
        <c:crosses val="autoZero"/>
        <c:crossBetween val="between"/>
      </c:valAx>
      <c:valAx>
        <c:axId val="1908531343"/>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45874671"/>
        <c:crosses val="max"/>
        <c:crossBetween val="between"/>
      </c:valAx>
      <c:catAx>
        <c:axId val="245874671"/>
        <c:scaling>
          <c:orientation val="minMax"/>
        </c:scaling>
        <c:delete val="1"/>
        <c:axPos val="b"/>
        <c:majorTickMark val="out"/>
        <c:minorTickMark val="none"/>
        <c:tickLblPos val="nextTo"/>
        <c:crossAx val="1908531343"/>
        <c:crosses val="autoZero"/>
        <c:auto val="1"/>
        <c:lblAlgn val="ctr"/>
        <c:lblOffset val="100"/>
        <c:noMultiLvlLbl val="0"/>
      </c:cat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Analysis!$B$569</c:f>
              <c:strCache>
                <c:ptCount val="1"/>
                <c:pt idx="0">
                  <c:v>Employees</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Analysis!$E$569:$J$569</c:f>
              <c:numCache>
                <c:formatCode>#,##0</c:formatCode>
                <c:ptCount val="6"/>
                <c:pt idx="0">
                  <c:v>1747</c:v>
                </c:pt>
                <c:pt idx="1">
                  <c:v>1954</c:v>
                </c:pt>
                <c:pt idx="2">
                  <c:v>2180</c:v>
                </c:pt>
                <c:pt idx="3">
                  <c:v>2575</c:v>
                </c:pt>
                <c:pt idx="4">
                  <c:v>3332</c:v>
                </c:pt>
                <c:pt idx="5">
                  <c:v>3883</c:v>
                </c:pt>
              </c:numCache>
            </c:numRef>
          </c:val>
          <c:extLst>
            <c:ext xmlns:c16="http://schemas.microsoft.com/office/drawing/2014/chart" uri="{C3380CC4-5D6E-409C-BE32-E72D297353CC}">
              <c16:uniqueId val="{00000000-1DCC-4613-A7CB-4CE1041EC905}"/>
            </c:ext>
          </c:extLst>
        </c:ser>
        <c:dLbls>
          <c:showLegendKey val="0"/>
          <c:showVal val="0"/>
          <c:showCatName val="0"/>
          <c:showSerName val="0"/>
          <c:showPercent val="0"/>
          <c:showBubbleSize val="0"/>
        </c:dLbls>
        <c:gapWidth val="30"/>
        <c:axId val="242900383"/>
        <c:axId val="2061219039"/>
      </c:barChart>
      <c:lineChart>
        <c:grouping val="standard"/>
        <c:varyColors val="0"/>
        <c:ser>
          <c:idx val="0"/>
          <c:order val="0"/>
          <c:tx>
            <c:strRef>
              <c:f>Analysis!$B$564</c:f>
              <c:strCache>
                <c:ptCount val="1"/>
                <c:pt idx="0">
                  <c:v>Wages/comp as % revenue</c:v>
                </c:pt>
              </c:strCache>
            </c:strRef>
          </c:tx>
          <c:spPr>
            <a:ln w="25400" cap="rnd">
              <a:solidFill>
                <a:srgbClr val="263238"/>
              </a:solidFill>
              <a:prstDash val="solid"/>
              <a:round/>
            </a:ln>
            <a:effectLst/>
          </c:spPr>
          <c:marker>
            <c:symbol val="none"/>
          </c:marker>
          <c:dLbls>
            <c:spPr>
              <a:solidFill>
                <a:srgbClr val="799098"/>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Helvetica Neue"/>
                    <a:ea typeface="Helvetica Neue"/>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Analysis!$E$567:$J$567</c:f>
              <c:strCache>
                <c:ptCount val="6"/>
                <c:pt idx="0">
                  <c:v>H2 20</c:v>
                </c:pt>
                <c:pt idx="1">
                  <c:v>H1 21</c:v>
                </c:pt>
                <c:pt idx="2">
                  <c:v>H2 21</c:v>
                </c:pt>
                <c:pt idx="3">
                  <c:v>H1 22</c:v>
                </c:pt>
                <c:pt idx="4">
                  <c:v>H2 22</c:v>
                </c:pt>
                <c:pt idx="5">
                  <c:v>H1 23</c:v>
                </c:pt>
              </c:strCache>
            </c:strRef>
          </c:cat>
          <c:val>
            <c:numRef>
              <c:f>Analysis!$E$575:$J$575</c:f>
              <c:numCache>
                <c:formatCode>0%</c:formatCode>
                <c:ptCount val="6"/>
                <c:pt idx="0">
                  <c:v>0.20580474934036938</c:v>
                </c:pt>
                <c:pt idx="1">
                  <c:v>0.22022471910112359</c:v>
                </c:pt>
                <c:pt idx="2">
                  <c:v>0.18165467625899281</c:v>
                </c:pt>
                <c:pt idx="3">
                  <c:v>0.22167487684729065</c:v>
                </c:pt>
                <c:pt idx="4">
                  <c:v>0.26731301939058172</c:v>
                </c:pt>
                <c:pt idx="5">
                  <c:v>0.33464140730717185</c:v>
                </c:pt>
              </c:numCache>
            </c:numRef>
          </c:val>
          <c:smooth val="0"/>
          <c:extLst>
            <c:ext xmlns:c16="http://schemas.microsoft.com/office/drawing/2014/chart" uri="{C3380CC4-5D6E-409C-BE32-E72D297353CC}">
              <c16:uniqueId val="{00000001-1DCC-4613-A7CB-4CE1041EC905}"/>
            </c:ext>
          </c:extLst>
        </c:ser>
        <c:dLbls>
          <c:showLegendKey val="0"/>
          <c:showVal val="0"/>
          <c:showCatName val="0"/>
          <c:showSerName val="0"/>
          <c:showPercent val="0"/>
          <c:showBubbleSize val="0"/>
        </c:dLbls>
        <c:marker val="1"/>
        <c:smooth val="0"/>
        <c:axId val="245906831"/>
        <c:axId val="2063320959"/>
      </c:lineChart>
      <c:catAx>
        <c:axId val="245906831"/>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063320959"/>
        <c:crosses val="autoZero"/>
        <c:auto val="1"/>
        <c:lblAlgn val="ctr"/>
        <c:lblOffset val="100"/>
        <c:noMultiLvlLbl val="0"/>
      </c:catAx>
      <c:valAx>
        <c:axId val="2063320959"/>
        <c:scaling>
          <c:orientation val="minMax"/>
        </c:scaling>
        <c:delete val="0"/>
        <c:axPos val="l"/>
        <c:numFmt formatCode="0%" sourceLinked="1"/>
        <c:majorTickMark val="out"/>
        <c:minorTickMark val="none"/>
        <c:tickLblPos val="nextTo"/>
        <c:spPr>
          <a:noFill/>
          <a:ln>
            <a:solidFill>
              <a:srgbClr val="B3B3B3"/>
            </a:solid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45906831"/>
        <c:crosses val="autoZero"/>
        <c:crossBetween val="between"/>
      </c:valAx>
      <c:valAx>
        <c:axId val="2061219039"/>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42900383"/>
        <c:crosses val="max"/>
        <c:crossBetween val="between"/>
      </c:valAx>
      <c:catAx>
        <c:axId val="242900383"/>
        <c:scaling>
          <c:orientation val="minMax"/>
        </c:scaling>
        <c:delete val="1"/>
        <c:axPos val="b"/>
        <c:majorTickMark val="out"/>
        <c:minorTickMark val="none"/>
        <c:tickLblPos val="nextTo"/>
        <c:crossAx val="2061219039"/>
        <c:crosses val="autoZero"/>
        <c:auto val="1"/>
        <c:lblAlgn val="ctr"/>
        <c:lblOffset val="100"/>
        <c:noMultiLvlLbl val="0"/>
      </c:cat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Analysis!$B$603</c:f>
              <c:strCache>
                <c:ptCount val="1"/>
                <c:pt idx="0">
                  <c:v>EM</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Analysis!$C$601:$I$601</c:f>
              <c:numCache>
                <c:formatCode>General</c:formatCode>
                <c:ptCount val="7"/>
                <c:pt idx="0">
                  <c:v>2021</c:v>
                </c:pt>
                <c:pt idx="1">
                  <c:v>2022</c:v>
                </c:pt>
                <c:pt idx="2">
                  <c:v>2023</c:v>
                </c:pt>
                <c:pt idx="3">
                  <c:v>2024</c:v>
                </c:pt>
                <c:pt idx="4">
                  <c:v>2025</c:v>
                </c:pt>
                <c:pt idx="5">
                  <c:v>2026</c:v>
                </c:pt>
                <c:pt idx="6">
                  <c:v>2027</c:v>
                </c:pt>
              </c:numCache>
            </c:numRef>
          </c:cat>
          <c:val>
            <c:numRef>
              <c:f>Analysis!$C$603:$I$603</c:f>
              <c:numCache>
                <c:formatCode>0%</c:formatCode>
                <c:ptCount val="7"/>
                <c:pt idx="0">
                  <c:v>0.15</c:v>
                </c:pt>
                <c:pt idx="1">
                  <c:v>7.0000000000000007E-2</c:v>
                </c:pt>
                <c:pt idx="2">
                  <c:v>0.06</c:v>
                </c:pt>
                <c:pt idx="3">
                  <c:v>7.0000000000000007E-2</c:v>
                </c:pt>
                <c:pt idx="4">
                  <c:v>7.0000000000000007E-2</c:v>
                </c:pt>
                <c:pt idx="5">
                  <c:v>7.0000000000000007E-2</c:v>
                </c:pt>
                <c:pt idx="6">
                  <c:v>7.0000000000000007E-2</c:v>
                </c:pt>
              </c:numCache>
            </c:numRef>
          </c:val>
          <c:extLst>
            <c:ext xmlns:c16="http://schemas.microsoft.com/office/drawing/2014/chart" uri="{C3380CC4-5D6E-409C-BE32-E72D297353CC}">
              <c16:uniqueId val="{00000000-C88A-4916-8256-3FE382864C1F}"/>
            </c:ext>
          </c:extLst>
        </c:ser>
        <c:ser>
          <c:idx val="1"/>
          <c:order val="1"/>
          <c:tx>
            <c:strRef>
              <c:f>Analysis!$B$604</c:f>
              <c:strCache>
                <c:ptCount val="1"/>
                <c:pt idx="0">
                  <c:v>DM</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Analysis!$C$601:$I$601</c:f>
              <c:numCache>
                <c:formatCode>General</c:formatCode>
                <c:ptCount val="7"/>
                <c:pt idx="0">
                  <c:v>2021</c:v>
                </c:pt>
                <c:pt idx="1">
                  <c:v>2022</c:v>
                </c:pt>
                <c:pt idx="2">
                  <c:v>2023</c:v>
                </c:pt>
                <c:pt idx="3">
                  <c:v>2024</c:v>
                </c:pt>
                <c:pt idx="4">
                  <c:v>2025</c:v>
                </c:pt>
                <c:pt idx="5">
                  <c:v>2026</c:v>
                </c:pt>
                <c:pt idx="6">
                  <c:v>2027</c:v>
                </c:pt>
              </c:numCache>
            </c:numRef>
          </c:cat>
          <c:val>
            <c:numRef>
              <c:f>Analysis!$C$604:$I$604</c:f>
              <c:numCache>
                <c:formatCode>0%</c:formatCode>
                <c:ptCount val="7"/>
                <c:pt idx="0">
                  <c:v>0.11</c:v>
                </c:pt>
                <c:pt idx="1">
                  <c:v>0.04</c:v>
                </c:pt>
                <c:pt idx="2">
                  <c:v>0.06</c:v>
                </c:pt>
                <c:pt idx="3">
                  <c:v>0.03</c:v>
                </c:pt>
                <c:pt idx="4">
                  <c:v>0.04</c:v>
                </c:pt>
                <c:pt idx="5">
                  <c:v>0.04</c:v>
                </c:pt>
                <c:pt idx="6">
                  <c:v>0.04</c:v>
                </c:pt>
              </c:numCache>
            </c:numRef>
          </c:val>
          <c:extLst>
            <c:ext xmlns:c16="http://schemas.microsoft.com/office/drawing/2014/chart" uri="{C3380CC4-5D6E-409C-BE32-E72D297353CC}">
              <c16:uniqueId val="{00000001-C88A-4916-8256-3FE382864C1F}"/>
            </c:ext>
          </c:extLst>
        </c:ser>
        <c:dLbls>
          <c:showLegendKey val="0"/>
          <c:showVal val="0"/>
          <c:showCatName val="0"/>
          <c:showSerName val="0"/>
          <c:showPercent val="0"/>
          <c:showBubbleSize val="0"/>
        </c:dLbls>
        <c:gapWidth val="30"/>
        <c:overlap val="-27"/>
        <c:axId val="354662895"/>
        <c:axId val="245805551"/>
      </c:barChart>
      <c:catAx>
        <c:axId val="354662895"/>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45805551"/>
        <c:crosses val="autoZero"/>
        <c:auto val="1"/>
        <c:lblAlgn val="ctr"/>
        <c:lblOffset val="100"/>
        <c:noMultiLvlLbl val="0"/>
      </c:catAx>
      <c:valAx>
        <c:axId val="245805551"/>
        <c:scaling>
          <c:orientation val="minMax"/>
        </c:scaling>
        <c:delete val="1"/>
        <c:axPos val="l"/>
        <c:numFmt formatCode="0%" sourceLinked="1"/>
        <c:majorTickMark val="out"/>
        <c:minorTickMark val="none"/>
        <c:tickLblPos val="nextTo"/>
        <c:crossAx val="354662895"/>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Analysis!$B$626:$B$643</c:f>
              <c:strCache>
                <c:ptCount val="18"/>
                <c:pt idx="0">
                  <c:v>Philippines</c:v>
                </c:pt>
                <c:pt idx="1">
                  <c:v>India</c:v>
                </c:pt>
                <c:pt idx="2">
                  <c:v>Taiwan</c:v>
                </c:pt>
                <c:pt idx="3">
                  <c:v>Canada</c:v>
                </c:pt>
                <c:pt idx="4">
                  <c:v>Italy</c:v>
                </c:pt>
                <c:pt idx="5">
                  <c:v>Brazil</c:v>
                </c:pt>
                <c:pt idx="6">
                  <c:v>Mexico</c:v>
                </c:pt>
                <c:pt idx="7">
                  <c:v>Japan</c:v>
                </c:pt>
                <c:pt idx="8">
                  <c:v>Malaysia</c:v>
                </c:pt>
                <c:pt idx="9">
                  <c:v>New Zealand</c:v>
                </c:pt>
                <c:pt idx="10">
                  <c:v>Singapore</c:v>
                </c:pt>
                <c:pt idx="11">
                  <c:v>Spain</c:v>
                </c:pt>
                <c:pt idx="12">
                  <c:v>France</c:v>
                </c:pt>
                <c:pt idx="13">
                  <c:v>US</c:v>
                </c:pt>
                <c:pt idx="14">
                  <c:v>Australia</c:v>
                </c:pt>
                <c:pt idx="15">
                  <c:v>South Korea</c:v>
                </c:pt>
                <c:pt idx="16">
                  <c:v>UK</c:v>
                </c:pt>
                <c:pt idx="17">
                  <c:v>China</c:v>
                </c:pt>
              </c:strCache>
            </c:strRef>
          </c:cat>
          <c:val>
            <c:numRef>
              <c:f>Analysis!$C$626:$C$643</c:f>
              <c:numCache>
                <c:formatCode>0%</c:formatCode>
                <c:ptCount val="18"/>
                <c:pt idx="0">
                  <c:v>0.02</c:v>
                </c:pt>
                <c:pt idx="1">
                  <c:v>0.05</c:v>
                </c:pt>
                <c:pt idx="2">
                  <c:v>7.5999999999999998E-2</c:v>
                </c:pt>
                <c:pt idx="3">
                  <c:v>0.08</c:v>
                </c:pt>
                <c:pt idx="4">
                  <c:v>0.08</c:v>
                </c:pt>
                <c:pt idx="5">
                  <c:v>8.1000000000000003E-2</c:v>
                </c:pt>
                <c:pt idx="6">
                  <c:v>0.09</c:v>
                </c:pt>
                <c:pt idx="7">
                  <c:v>0.1</c:v>
                </c:pt>
                <c:pt idx="8">
                  <c:v>0.1</c:v>
                </c:pt>
                <c:pt idx="9">
                  <c:v>0.11</c:v>
                </c:pt>
                <c:pt idx="10">
                  <c:v>0.11</c:v>
                </c:pt>
                <c:pt idx="11">
                  <c:v>0.11</c:v>
                </c:pt>
                <c:pt idx="12">
                  <c:v>0.13400000000000001</c:v>
                </c:pt>
                <c:pt idx="13">
                  <c:v>0.14000000000000001</c:v>
                </c:pt>
                <c:pt idx="14">
                  <c:v>0.16300000000000001</c:v>
                </c:pt>
                <c:pt idx="15">
                  <c:v>0.18</c:v>
                </c:pt>
                <c:pt idx="16">
                  <c:v>0.28000000000000003</c:v>
                </c:pt>
                <c:pt idx="17">
                  <c:v>0.3</c:v>
                </c:pt>
              </c:numCache>
            </c:numRef>
          </c:val>
          <c:extLst>
            <c:ext xmlns:c16="http://schemas.microsoft.com/office/drawing/2014/chart" uri="{C3380CC4-5D6E-409C-BE32-E72D297353CC}">
              <c16:uniqueId val="{00000000-6D85-4423-8857-45AED5329740}"/>
            </c:ext>
          </c:extLst>
        </c:ser>
        <c:dLbls>
          <c:showLegendKey val="0"/>
          <c:showVal val="0"/>
          <c:showCatName val="0"/>
          <c:showSerName val="0"/>
          <c:showPercent val="0"/>
          <c:showBubbleSize val="0"/>
        </c:dLbls>
        <c:gapWidth val="30"/>
        <c:overlap val="-27"/>
        <c:axId val="599241295"/>
        <c:axId val="1913310959"/>
      </c:barChart>
      <c:catAx>
        <c:axId val="599241295"/>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913310959"/>
        <c:crosses val="autoZero"/>
        <c:auto val="1"/>
        <c:lblAlgn val="ctr"/>
        <c:lblOffset val="100"/>
        <c:noMultiLvlLbl val="0"/>
      </c:catAx>
      <c:valAx>
        <c:axId val="1913310959"/>
        <c:scaling>
          <c:orientation val="minMax"/>
        </c:scaling>
        <c:delete val="1"/>
        <c:axPos val="l"/>
        <c:numFmt formatCode="0%" sourceLinked="1"/>
        <c:majorTickMark val="out"/>
        <c:minorTickMark val="none"/>
        <c:tickLblPos val="nextTo"/>
        <c:crossAx val="59924129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Analysis!$C$652:$L$652</c:f>
              <c:strCache>
                <c:ptCount val="10"/>
                <c:pt idx="0">
                  <c:v>Q2 21</c:v>
                </c:pt>
                <c:pt idx="1">
                  <c:v>Q3 21</c:v>
                </c:pt>
                <c:pt idx="2">
                  <c:v>Q4 21</c:v>
                </c:pt>
                <c:pt idx="3">
                  <c:v>Q1 22</c:v>
                </c:pt>
                <c:pt idx="4">
                  <c:v>Q2 22</c:v>
                </c:pt>
                <c:pt idx="5">
                  <c:v>Q3 22</c:v>
                </c:pt>
                <c:pt idx="6">
                  <c:v>Q4 22</c:v>
                </c:pt>
                <c:pt idx="7">
                  <c:v>Q1 23</c:v>
                </c:pt>
                <c:pt idx="8">
                  <c:v>Q2 23</c:v>
                </c:pt>
                <c:pt idx="9">
                  <c:v>Q3 23</c:v>
                </c:pt>
              </c:strCache>
            </c:strRef>
          </c:cat>
          <c:val>
            <c:numRef>
              <c:f>Analysis!$C$653:$L$653</c:f>
              <c:numCache>
                <c:formatCode>0%</c:formatCode>
                <c:ptCount val="10"/>
                <c:pt idx="0">
                  <c:v>0.63</c:v>
                </c:pt>
                <c:pt idx="1">
                  <c:v>0.56999999999999995</c:v>
                </c:pt>
                <c:pt idx="2">
                  <c:v>0.54</c:v>
                </c:pt>
                <c:pt idx="3">
                  <c:v>0.52</c:v>
                </c:pt>
                <c:pt idx="4">
                  <c:v>0.51</c:v>
                </c:pt>
                <c:pt idx="5">
                  <c:v>0.53</c:v>
                </c:pt>
                <c:pt idx="6">
                  <c:v>0.55000000000000004</c:v>
                </c:pt>
                <c:pt idx="7">
                  <c:v>0.57999999999999996</c:v>
                </c:pt>
                <c:pt idx="8">
                  <c:v>0.59</c:v>
                </c:pt>
                <c:pt idx="9">
                  <c:v>0.6</c:v>
                </c:pt>
              </c:numCache>
            </c:numRef>
          </c:val>
          <c:extLst>
            <c:ext xmlns:c16="http://schemas.microsoft.com/office/drawing/2014/chart" uri="{C3380CC4-5D6E-409C-BE32-E72D297353CC}">
              <c16:uniqueId val="{00000000-3AF3-4620-9A12-96B9293346C4}"/>
            </c:ext>
          </c:extLst>
        </c:ser>
        <c:dLbls>
          <c:showLegendKey val="0"/>
          <c:showVal val="0"/>
          <c:showCatName val="0"/>
          <c:showSerName val="0"/>
          <c:showPercent val="0"/>
          <c:showBubbleSize val="0"/>
        </c:dLbls>
        <c:gapWidth val="30"/>
        <c:overlap val="-27"/>
        <c:axId val="392409567"/>
        <c:axId val="133271807"/>
      </c:barChart>
      <c:catAx>
        <c:axId val="392409567"/>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33271807"/>
        <c:crosses val="autoZero"/>
        <c:auto val="1"/>
        <c:lblAlgn val="ctr"/>
        <c:lblOffset val="100"/>
        <c:noMultiLvlLbl val="0"/>
      </c:catAx>
      <c:valAx>
        <c:axId val="133271807"/>
        <c:scaling>
          <c:orientation val="minMax"/>
        </c:scaling>
        <c:delete val="1"/>
        <c:axPos val="l"/>
        <c:numFmt formatCode="0%" sourceLinked="1"/>
        <c:majorTickMark val="out"/>
        <c:minorTickMark val="none"/>
        <c:tickLblPos val="nextTo"/>
        <c:crossAx val="392409567"/>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Analysis!$C$704</c:f>
              <c:strCache>
                <c:ptCount val="1"/>
                <c:pt idx="0">
                  <c:v>Argentina</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Analysis!$B$707:$B$708</c:f>
              <c:strCache>
                <c:ptCount val="2"/>
                <c:pt idx="0">
                  <c:v>Gross revenue</c:v>
                </c:pt>
                <c:pt idx="1">
                  <c:v>Gross profit</c:v>
                </c:pt>
              </c:strCache>
            </c:strRef>
          </c:cat>
          <c:val>
            <c:numRef>
              <c:f>Analysis!$C$707:$C$708</c:f>
              <c:numCache>
                <c:formatCode>0</c:formatCode>
                <c:ptCount val="2"/>
                <c:pt idx="0">
                  <c:v>0</c:v>
                </c:pt>
                <c:pt idx="1">
                  <c:v>0</c:v>
                </c:pt>
              </c:numCache>
            </c:numRef>
          </c:val>
          <c:extLst>
            <c:ext xmlns:c16="http://schemas.microsoft.com/office/drawing/2014/chart" uri="{C3380CC4-5D6E-409C-BE32-E72D297353CC}">
              <c16:uniqueId val="{00000000-04AF-4815-B1B4-029573008663}"/>
            </c:ext>
          </c:extLst>
        </c:ser>
        <c:ser>
          <c:idx val="1"/>
          <c:order val="1"/>
          <c:tx>
            <c:strRef>
              <c:f>Analysis!$D$704</c:f>
              <c:strCache>
                <c:ptCount val="1"/>
                <c:pt idx="0">
                  <c:v>Group</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Analysis!$B$707:$B$708</c:f>
              <c:strCache>
                <c:ptCount val="2"/>
                <c:pt idx="0">
                  <c:v>Gross revenue</c:v>
                </c:pt>
                <c:pt idx="1">
                  <c:v>Gross profit</c:v>
                </c:pt>
              </c:strCache>
            </c:strRef>
          </c:cat>
          <c:val>
            <c:numRef>
              <c:f>Analysis!$D$707:$D$708</c:f>
              <c:numCache>
                <c:formatCode>0</c:formatCode>
                <c:ptCount val="2"/>
                <c:pt idx="0">
                  <c:v>163.9</c:v>
                </c:pt>
                <c:pt idx="1">
                  <c:v>74.5</c:v>
                </c:pt>
              </c:numCache>
            </c:numRef>
          </c:val>
          <c:extLst>
            <c:ext xmlns:c16="http://schemas.microsoft.com/office/drawing/2014/chart" uri="{C3380CC4-5D6E-409C-BE32-E72D297353CC}">
              <c16:uniqueId val="{00000001-04AF-4815-B1B4-029573008663}"/>
            </c:ext>
          </c:extLst>
        </c:ser>
        <c:dLbls>
          <c:showLegendKey val="0"/>
          <c:showVal val="0"/>
          <c:showCatName val="0"/>
          <c:showSerName val="0"/>
          <c:showPercent val="0"/>
          <c:showBubbleSize val="0"/>
        </c:dLbls>
        <c:gapWidth val="30"/>
        <c:overlap val="-27"/>
        <c:axId val="197556080"/>
        <c:axId val="880309904"/>
      </c:barChart>
      <c:lineChart>
        <c:grouping val="standard"/>
        <c:varyColors val="0"/>
        <c:ser>
          <c:idx val="2"/>
          <c:order val="2"/>
          <c:tx>
            <c:strRef>
              <c:f>Analysis!$E$704</c:f>
              <c:strCache>
                <c:ptCount val="1"/>
                <c:pt idx="0">
                  <c:v>As % group</c:v>
                </c:pt>
              </c:strCache>
            </c:strRef>
          </c:tx>
          <c:spPr>
            <a:ln w="28575" cap="rnd">
              <a:noFill/>
              <a:round/>
            </a:ln>
            <a:effectLst/>
          </c:spPr>
          <c:marker>
            <c:symbol val="square"/>
            <c:size val="8"/>
            <c:spPr>
              <a:solidFill>
                <a:srgbClr val="FF0000"/>
              </a:solidFill>
              <a:ln w="9525">
                <a:solidFill>
                  <a:srgbClr val="FF0000"/>
                </a:solidFill>
              </a:ln>
              <a:effectLst/>
            </c:spPr>
          </c:marker>
          <c:cat>
            <c:strRef>
              <c:f>Analysis!$B$707:$B$708</c:f>
              <c:strCache>
                <c:ptCount val="2"/>
                <c:pt idx="0">
                  <c:v>Gross revenue</c:v>
                </c:pt>
                <c:pt idx="1">
                  <c:v>Gross profit</c:v>
                </c:pt>
              </c:strCache>
            </c:strRef>
          </c:cat>
          <c:val>
            <c:numRef>
              <c:f>Analysis!$E$707:$E$708</c:f>
              <c:numCache>
                <c:formatCode>0%</c:formatCode>
                <c:ptCount val="2"/>
                <c:pt idx="0">
                  <c:v>0</c:v>
                </c:pt>
                <c:pt idx="1">
                  <c:v>0</c:v>
                </c:pt>
              </c:numCache>
            </c:numRef>
          </c:val>
          <c:smooth val="0"/>
          <c:extLst>
            <c:ext xmlns:c16="http://schemas.microsoft.com/office/drawing/2014/chart" uri="{C3380CC4-5D6E-409C-BE32-E72D297353CC}">
              <c16:uniqueId val="{00000002-04AF-4815-B1B4-029573008663}"/>
            </c:ext>
          </c:extLst>
        </c:ser>
        <c:dLbls>
          <c:showLegendKey val="0"/>
          <c:showVal val="0"/>
          <c:showCatName val="0"/>
          <c:showSerName val="0"/>
          <c:showPercent val="0"/>
          <c:showBubbleSize val="0"/>
        </c:dLbls>
        <c:marker val="1"/>
        <c:smooth val="0"/>
        <c:axId val="874004272"/>
        <c:axId val="880311392"/>
      </c:lineChart>
      <c:catAx>
        <c:axId val="197556080"/>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880309904"/>
        <c:crosses val="autoZero"/>
        <c:auto val="1"/>
        <c:lblAlgn val="ctr"/>
        <c:lblOffset val="100"/>
        <c:noMultiLvlLbl val="0"/>
      </c:catAx>
      <c:valAx>
        <c:axId val="880309904"/>
        <c:scaling>
          <c:orientation val="minMax"/>
        </c:scaling>
        <c:delete val="0"/>
        <c:axPos val="l"/>
        <c:numFmt formatCode="0" sourceLinked="1"/>
        <c:majorTickMark val="out"/>
        <c:minorTickMark val="none"/>
        <c:tickLblPos val="nextTo"/>
        <c:spPr>
          <a:noFill/>
          <a:ln>
            <a:solidFill>
              <a:srgbClr val="B3B3B3"/>
            </a:solid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97556080"/>
        <c:crosses val="autoZero"/>
        <c:crossBetween val="between"/>
      </c:valAx>
      <c:valAx>
        <c:axId val="88031139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874004272"/>
        <c:crosses val="max"/>
        <c:crossBetween val="between"/>
      </c:valAx>
      <c:catAx>
        <c:axId val="874004272"/>
        <c:scaling>
          <c:orientation val="minMax"/>
        </c:scaling>
        <c:delete val="1"/>
        <c:axPos val="b"/>
        <c:numFmt formatCode="General" sourceLinked="1"/>
        <c:majorTickMark val="out"/>
        <c:minorTickMark val="none"/>
        <c:tickLblPos val="nextTo"/>
        <c:crossAx val="880311392"/>
        <c:crosses val="autoZero"/>
        <c:auto val="1"/>
        <c:lblAlgn val="ctr"/>
        <c:lblOffset val="100"/>
        <c:noMultiLvlLbl val="0"/>
      </c:cat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Analysis!$B$728</c:f>
              <c:strCache>
                <c:ptCount val="1"/>
                <c:pt idx="0">
                  <c:v>Argentina</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Analysis!$C$727:$J$727</c:f>
              <c:strCache>
                <c:ptCount val="8"/>
                <c:pt idx="0">
                  <c:v>Q1 23</c:v>
                </c:pt>
                <c:pt idx="1">
                  <c:v>Q2 23</c:v>
                </c:pt>
                <c:pt idx="2">
                  <c:v>Q3 23</c:v>
                </c:pt>
                <c:pt idx="3">
                  <c:v>#REF!</c:v>
                </c:pt>
                <c:pt idx="4">
                  <c:v>#REF!</c:v>
                </c:pt>
                <c:pt idx="5">
                  <c:v>Q2 24E</c:v>
                </c:pt>
                <c:pt idx="6">
                  <c:v>Q3 24E</c:v>
                </c:pt>
                <c:pt idx="7">
                  <c:v>Q4 24E</c:v>
                </c:pt>
              </c:strCache>
            </c:strRef>
          </c:cat>
          <c:val>
            <c:numRef>
              <c:f>Analysis!$C$728:$J$728</c:f>
              <c:numCache>
                <c:formatCode>0</c:formatCode>
                <c:ptCount val="8"/>
                <c:pt idx="0">
                  <c:v>20</c:v>
                </c:pt>
                <c:pt idx="1">
                  <c:v>20.7</c:v>
                </c:pt>
                <c:pt idx="2">
                  <c:v>23.9</c:v>
                </c:pt>
                <c:pt idx="3">
                  <c:v>0</c:v>
                </c:pt>
                <c:pt idx="4">
                  <c:v>0</c:v>
                </c:pt>
                <c:pt idx="5">
                  <c:v>16</c:v>
                </c:pt>
                <c:pt idx="6">
                  <c:v>17</c:v>
                </c:pt>
                <c:pt idx="7">
                  <c:v>17.200000000000003</c:v>
                </c:pt>
              </c:numCache>
            </c:numRef>
          </c:val>
          <c:extLst>
            <c:ext xmlns:c16="http://schemas.microsoft.com/office/drawing/2014/chart" uri="{C3380CC4-5D6E-409C-BE32-E72D297353CC}">
              <c16:uniqueId val="{00000000-AFE3-4129-8441-92739DB08C99}"/>
            </c:ext>
          </c:extLst>
        </c:ser>
        <c:ser>
          <c:idx val="1"/>
          <c:order val="1"/>
          <c:tx>
            <c:strRef>
              <c:f>Analysis!$B$729</c:f>
              <c:strCache>
                <c:ptCount val="1"/>
                <c:pt idx="0">
                  <c:v>Group ex-Argentina</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Analysis!$C$727:$J$727</c:f>
              <c:strCache>
                <c:ptCount val="8"/>
                <c:pt idx="0">
                  <c:v>Q1 23</c:v>
                </c:pt>
                <c:pt idx="1">
                  <c:v>Q2 23</c:v>
                </c:pt>
                <c:pt idx="2">
                  <c:v>Q3 23</c:v>
                </c:pt>
                <c:pt idx="3">
                  <c:v>#REF!</c:v>
                </c:pt>
                <c:pt idx="4">
                  <c:v>#REF!</c:v>
                </c:pt>
                <c:pt idx="5">
                  <c:v>Q2 24E</c:v>
                </c:pt>
                <c:pt idx="6">
                  <c:v>Q3 24E</c:v>
                </c:pt>
                <c:pt idx="7">
                  <c:v>Q4 24E</c:v>
                </c:pt>
              </c:strCache>
            </c:strRef>
          </c:cat>
          <c:val>
            <c:numRef>
              <c:f>Analysis!$C$729:$J$729</c:f>
              <c:numCache>
                <c:formatCode>0</c:formatCode>
                <c:ptCount val="8"/>
                <c:pt idx="0">
                  <c:v>117.30000000000001</c:v>
                </c:pt>
                <c:pt idx="1">
                  <c:v>140.4</c:v>
                </c:pt>
                <c:pt idx="2">
                  <c:v>140</c:v>
                </c:pt>
                <c:pt idx="3">
                  <c:v>0</c:v>
                </c:pt>
                <c:pt idx="4">
                  <c:v>0</c:v>
                </c:pt>
                <c:pt idx="5">
                  <c:v>163</c:v>
                </c:pt>
                <c:pt idx="6">
                  <c:v>186</c:v>
                </c:pt>
                <c:pt idx="7">
                  <c:v>211.23371482889746</c:v>
                </c:pt>
              </c:numCache>
            </c:numRef>
          </c:val>
          <c:extLst>
            <c:ext xmlns:c16="http://schemas.microsoft.com/office/drawing/2014/chart" uri="{C3380CC4-5D6E-409C-BE32-E72D297353CC}">
              <c16:uniqueId val="{00000001-AFE3-4129-8441-92739DB08C99}"/>
            </c:ext>
          </c:extLst>
        </c:ser>
        <c:dLbls>
          <c:showLegendKey val="0"/>
          <c:showVal val="0"/>
          <c:showCatName val="0"/>
          <c:showSerName val="0"/>
          <c:showPercent val="0"/>
          <c:showBubbleSize val="0"/>
        </c:dLbls>
        <c:gapWidth val="30"/>
        <c:overlap val="100"/>
        <c:axId val="932969008"/>
        <c:axId val="403859440"/>
      </c:barChart>
      <c:catAx>
        <c:axId val="93296900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403859440"/>
        <c:crosses val="autoZero"/>
        <c:auto val="1"/>
        <c:lblAlgn val="ctr"/>
        <c:lblOffset val="100"/>
        <c:noMultiLvlLbl val="0"/>
      </c:catAx>
      <c:valAx>
        <c:axId val="403859440"/>
        <c:scaling>
          <c:orientation val="minMax"/>
        </c:scaling>
        <c:delete val="1"/>
        <c:axPos val="l"/>
        <c:numFmt formatCode="0" sourceLinked="1"/>
        <c:majorTickMark val="out"/>
        <c:minorTickMark val="none"/>
        <c:tickLblPos val="nextTo"/>
        <c:crossAx val="932969008"/>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cat>
            <c:strRef>
              <c:f>Analysis!$B$43:$B$53</c:f>
              <c:strCache>
                <c:ptCount val="11"/>
                <c:pt idx="0">
                  <c:v>Other dLocal</c:v>
                </c:pt>
                <c:pt idx="1">
                  <c:v>India</c:v>
                </c:pt>
                <c:pt idx="2">
                  <c:v>Mexico</c:v>
                </c:pt>
                <c:pt idx="3">
                  <c:v>Brazil</c:v>
                </c:pt>
                <c:pt idx="4">
                  <c:v>Chile</c:v>
                </c:pt>
                <c:pt idx="5">
                  <c:v>Nigeria</c:v>
                </c:pt>
                <c:pt idx="6">
                  <c:v>Colombia</c:v>
                </c:pt>
                <c:pt idx="7">
                  <c:v>Turkey</c:v>
                </c:pt>
                <c:pt idx="8">
                  <c:v>Indonesia</c:v>
                </c:pt>
                <c:pt idx="9">
                  <c:v>Peru</c:v>
                </c:pt>
                <c:pt idx="10">
                  <c:v>Argentina</c:v>
                </c:pt>
              </c:strCache>
            </c:strRef>
          </c:cat>
          <c:val>
            <c:numRef>
              <c:f>Analysis!$C$43:$C$53</c:f>
              <c:numCache>
                <c:formatCode>#,##0</c:formatCode>
                <c:ptCount val="11"/>
                <c:pt idx="0" formatCode="0">
                  <c:v>16.400000000000006</c:v>
                </c:pt>
                <c:pt idx="1">
                  <c:v>15.4</c:v>
                </c:pt>
                <c:pt idx="2">
                  <c:v>8.1</c:v>
                </c:pt>
                <c:pt idx="3" formatCode="General">
                  <c:v>7.2</c:v>
                </c:pt>
                <c:pt idx="4">
                  <c:v>3.6</c:v>
                </c:pt>
                <c:pt idx="5">
                  <c:v>3.5</c:v>
                </c:pt>
                <c:pt idx="6">
                  <c:v>2.9</c:v>
                </c:pt>
                <c:pt idx="7">
                  <c:v>2.4</c:v>
                </c:pt>
                <c:pt idx="8">
                  <c:v>1.9</c:v>
                </c:pt>
                <c:pt idx="9">
                  <c:v>1.2</c:v>
                </c:pt>
                <c:pt idx="10">
                  <c:v>0.4</c:v>
                </c:pt>
              </c:numCache>
            </c:numRef>
          </c:val>
          <c:extLst>
            <c:ext xmlns:c16="http://schemas.microsoft.com/office/drawing/2014/chart" uri="{C3380CC4-5D6E-409C-BE32-E72D297353CC}">
              <c16:uniqueId val="{00000000-A2ED-4B04-A6CF-56B6EF92A560}"/>
            </c:ext>
          </c:extLst>
        </c:ser>
        <c:dLbls>
          <c:showLegendKey val="0"/>
          <c:showVal val="0"/>
          <c:showCatName val="0"/>
          <c:showSerName val="0"/>
          <c:showPercent val="0"/>
          <c:showBubbleSize val="0"/>
        </c:dLbls>
        <c:gapWidth val="219"/>
        <c:overlap val="-27"/>
        <c:axId val="892803904"/>
        <c:axId val="892796032"/>
      </c:barChart>
      <c:catAx>
        <c:axId val="89280390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92796032"/>
        <c:crosses val="autoZero"/>
        <c:auto val="1"/>
        <c:lblAlgn val="ctr"/>
        <c:lblOffset val="100"/>
        <c:noMultiLvlLbl val="0"/>
      </c:catAx>
      <c:valAx>
        <c:axId val="892796032"/>
        <c:scaling>
          <c:orientation val="minMax"/>
        </c:scaling>
        <c:delete val="0"/>
        <c:axPos val="l"/>
        <c:majorGridlines>
          <c:spPr>
            <a:ln w="3175" cap="flat" cmpd="sng" algn="ctr">
              <a:solidFill>
                <a:srgbClr val="C0C0C0"/>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r>
                  <a:rPr lang="en-US"/>
                  <a:t>USD billions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title>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89280390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Analysis!$B$794:$B$797</c:f>
              <c:strCache>
                <c:ptCount val="4"/>
                <c:pt idx="0">
                  <c:v>MercadoLibre</c:v>
                </c:pt>
                <c:pt idx="1">
                  <c:v>AliExpress</c:v>
                </c:pt>
                <c:pt idx="2">
                  <c:v>Amazon</c:v>
                </c:pt>
                <c:pt idx="3">
                  <c:v>Shopee</c:v>
                </c:pt>
              </c:strCache>
            </c:strRef>
          </c:cat>
          <c:val>
            <c:numRef>
              <c:f>Analysis!$C$794:$C$797</c:f>
              <c:numCache>
                <c:formatCode>General</c:formatCode>
                <c:ptCount val="4"/>
                <c:pt idx="0">
                  <c:v>447</c:v>
                </c:pt>
                <c:pt idx="1">
                  <c:v>425</c:v>
                </c:pt>
                <c:pt idx="2">
                  <c:v>217</c:v>
                </c:pt>
                <c:pt idx="3">
                  <c:v>96</c:v>
                </c:pt>
              </c:numCache>
            </c:numRef>
          </c:val>
          <c:extLst>
            <c:ext xmlns:c16="http://schemas.microsoft.com/office/drawing/2014/chart" uri="{C3380CC4-5D6E-409C-BE32-E72D297353CC}">
              <c16:uniqueId val="{00000000-2C16-4478-8511-C28F9B3EA83F}"/>
            </c:ext>
          </c:extLst>
        </c:ser>
        <c:dLbls>
          <c:showLegendKey val="0"/>
          <c:showVal val="0"/>
          <c:showCatName val="0"/>
          <c:showSerName val="0"/>
          <c:showPercent val="0"/>
          <c:showBubbleSize val="0"/>
        </c:dLbls>
        <c:gapWidth val="30"/>
        <c:axId val="870400655"/>
        <c:axId val="858412607"/>
      </c:barChart>
      <c:catAx>
        <c:axId val="870400655"/>
        <c:scaling>
          <c:orientation val="minMax"/>
        </c:scaling>
        <c:delete val="0"/>
        <c:axPos val="l"/>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858412607"/>
        <c:crosses val="autoZero"/>
        <c:auto val="1"/>
        <c:lblAlgn val="ctr"/>
        <c:lblOffset val="100"/>
        <c:noMultiLvlLbl val="0"/>
      </c:catAx>
      <c:valAx>
        <c:axId val="858412607"/>
        <c:scaling>
          <c:orientation val="minMax"/>
        </c:scaling>
        <c:delete val="1"/>
        <c:axPos val="b"/>
        <c:numFmt formatCode="General" sourceLinked="1"/>
        <c:majorTickMark val="out"/>
        <c:minorTickMark val="none"/>
        <c:tickLblPos val="nextTo"/>
        <c:crossAx val="87040065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Analysis!$C$818</c:f>
              <c:strCache>
                <c:ptCount val="1"/>
                <c:pt idx="0">
                  <c:v>Africa</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Analysis!$B$819:$B$824</c:f>
              <c:strCache>
                <c:ptCount val="6"/>
                <c:pt idx="0">
                  <c:v>Cloud/SaaS</c:v>
                </c:pt>
                <c:pt idx="1">
                  <c:v>Delivery Apps</c:v>
                </c:pt>
                <c:pt idx="2">
                  <c:v>Online retail</c:v>
                </c:pt>
                <c:pt idx="3">
                  <c:v>Digital Ads</c:v>
                </c:pt>
                <c:pt idx="4">
                  <c:v>Streaming</c:v>
                </c:pt>
                <c:pt idx="5">
                  <c:v>Gaming</c:v>
                </c:pt>
              </c:strCache>
            </c:strRef>
          </c:cat>
          <c:val>
            <c:numRef>
              <c:f>Analysis!$C$819:$C$824</c:f>
              <c:numCache>
                <c:formatCode>0%</c:formatCode>
                <c:ptCount val="6"/>
                <c:pt idx="0">
                  <c:v>0.25</c:v>
                </c:pt>
                <c:pt idx="1">
                  <c:v>0.21</c:v>
                </c:pt>
                <c:pt idx="2">
                  <c:v>0.18</c:v>
                </c:pt>
                <c:pt idx="3">
                  <c:v>0.17</c:v>
                </c:pt>
                <c:pt idx="4">
                  <c:v>0.14000000000000001</c:v>
                </c:pt>
                <c:pt idx="5">
                  <c:v>0.11</c:v>
                </c:pt>
              </c:numCache>
            </c:numRef>
          </c:val>
          <c:extLst>
            <c:ext xmlns:c16="http://schemas.microsoft.com/office/drawing/2014/chart" uri="{C3380CC4-5D6E-409C-BE32-E72D297353CC}">
              <c16:uniqueId val="{00000000-3146-4066-B6E1-573CDBDE540A}"/>
            </c:ext>
          </c:extLst>
        </c:ser>
        <c:ser>
          <c:idx val="1"/>
          <c:order val="1"/>
          <c:tx>
            <c:strRef>
              <c:f>Analysis!$D$818</c:f>
              <c:strCache>
                <c:ptCount val="1"/>
                <c:pt idx="0">
                  <c:v>Worldwide</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Analysis!$B$819:$B$824</c:f>
              <c:strCache>
                <c:ptCount val="6"/>
                <c:pt idx="0">
                  <c:v>Cloud/SaaS</c:v>
                </c:pt>
                <c:pt idx="1">
                  <c:v>Delivery Apps</c:v>
                </c:pt>
                <c:pt idx="2">
                  <c:v>Online retail</c:v>
                </c:pt>
                <c:pt idx="3">
                  <c:v>Digital Ads</c:v>
                </c:pt>
                <c:pt idx="4">
                  <c:v>Streaming</c:v>
                </c:pt>
                <c:pt idx="5">
                  <c:v>Gaming</c:v>
                </c:pt>
              </c:strCache>
            </c:strRef>
          </c:cat>
          <c:val>
            <c:numRef>
              <c:f>Analysis!$D$819:$D$824</c:f>
              <c:numCache>
                <c:formatCode>0%</c:formatCode>
                <c:ptCount val="6"/>
                <c:pt idx="0">
                  <c:v>0.21</c:v>
                </c:pt>
                <c:pt idx="1">
                  <c:v>0.09</c:v>
                </c:pt>
                <c:pt idx="2">
                  <c:v>0.11</c:v>
                </c:pt>
                <c:pt idx="3">
                  <c:v>0.11</c:v>
                </c:pt>
                <c:pt idx="4">
                  <c:v>0.11</c:v>
                </c:pt>
                <c:pt idx="5">
                  <c:v>0.02</c:v>
                </c:pt>
              </c:numCache>
            </c:numRef>
          </c:val>
          <c:extLst>
            <c:ext xmlns:c16="http://schemas.microsoft.com/office/drawing/2014/chart" uri="{C3380CC4-5D6E-409C-BE32-E72D297353CC}">
              <c16:uniqueId val="{00000001-3146-4066-B6E1-573CDBDE540A}"/>
            </c:ext>
          </c:extLst>
        </c:ser>
        <c:dLbls>
          <c:showLegendKey val="0"/>
          <c:showVal val="0"/>
          <c:showCatName val="0"/>
          <c:showSerName val="0"/>
          <c:showPercent val="0"/>
          <c:showBubbleSize val="0"/>
        </c:dLbls>
        <c:gapWidth val="30"/>
        <c:overlap val="-27"/>
        <c:axId val="524736016"/>
        <c:axId val="862369327"/>
      </c:barChart>
      <c:catAx>
        <c:axId val="524736016"/>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862369327"/>
        <c:crosses val="autoZero"/>
        <c:auto val="1"/>
        <c:lblAlgn val="ctr"/>
        <c:lblOffset val="100"/>
        <c:noMultiLvlLbl val="0"/>
      </c:catAx>
      <c:valAx>
        <c:axId val="862369327"/>
        <c:scaling>
          <c:orientation val="minMax"/>
        </c:scaling>
        <c:delete val="1"/>
        <c:axPos val="l"/>
        <c:numFmt formatCode="0%" sourceLinked="1"/>
        <c:majorTickMark val="out"/>
        <c:minorTickMark val="none"/>
        <c:tickLblPos val="nextTo"/>
        <c:crossAx val="52473601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Analysis!$B$832</c:f>
              <c:strCache>
                <c:ptCount val="1"/>
                <c:pt idx="0">
                  <c:v>dLocal</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Analysis!$C$831:$D$831</c:f>
              <c:strCache>
                <c:ptCount val="2"/>
                <c:pt idx="0">
                  <c:v>Q3 23</c:v>
                </c:pt>
                <c:pt idx="1">
                  <c:v>Mid-term guide (mid-point)</c:v>
                </c:pt>
              </c:strCache>
            </c:strRef>
          </c:cat>
          <c:val>
            <c:numRef>
              <c:f>Analysis!$C$832:$D$832</c:f>
              <c:numCache>
                <c:formatCode>0%</c:formatCode>
                <c:ptCount val="2"/>
                <c:pt idx="0">
                  <c:v>1.1292163577398475</c:v>
                </c:pt>
                <c:pt idx="1">
                  <c:v>1.05</c:v>
                </c:pt>
              </c:numCache>
            </c:numRef>
          </c:val>
          <c:extLst>
            <c:ext xmlns:c16="http://schemas.microsoft.com/office/drawing/2014/chart" uri="{C3380CC4-5D6E-409C-BE32-E72D297353CC}">
              <c16:uniqueId val="{00000000-BC76-4535-AD95-9AD8AB1947C6}"/>
            </c:ext>
          </c:extLst>
        </c:ser>
        <c:ser>
          <c:idx val="1"/>
          <c:order val="1"/>
          <c:tx>
            <c:strRef>
              <c:f>Analysis!$B$833</c:f>
              <c:strCache>
                <c:ptCount val="1"/>
                <c:pt idx="0">
                  <c:v>Adyen</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Analysis!$C$831:$D$831</c:f>
              <c:strCache>
                <c:ptCount val="2"/>
                <c:pt idx="0">
                  <c:v>Q3 23</c:v>
                </c:pt>
                <c:pt idx="1">
                  <c:v>Mid-term guide (mid-point)</c:v>
                </c:pt>
              </c:strCache>
            </c:strRef>
          </c:cat>
          <c:val>
            <c:numRef>
              <c:f>Analysis!$C$833:$D$833</c:f>
              <c:numCache>
                <c:formatCode>0%</c:formatCode>
                <c:ptCount val="2"/>
                <c:pt idx="0">
                  <c:v>0.64700000000000002</c:v>
                </c:pt>
                <c:pt idx="1">
                  <c:v>0.75</c:v>
                </c:pt>
              </c:numCache>
            </c:numRef>
          </c:val>
          <c:extLst>
            <c:ext xmlns:c16="http://schemas.microsoft.com/office/drawing/2014/chart" uri="{C3380CC4-5D6E-409C-BE32-E72D297353CC}">
              <c16:uniqueId val="{00000001-BC76-4535-AD95-9AD8AB1947C6}"/>
            </c:ext>
          </c:extLst>
        </c:ser>
        <c:dLbls>
          <c:showLegendKey val="0"/>
          <c:showVal val="0"/>
          <c:showCatName val="0"/>
          <c:showSerName val="0"/>
          <c:showPercent val="0"/>
          <c:showBubbleSize val="0"/>
        </c:dLbls>
        <c:gapWidth val="30"/>
        <c:overlap val="-27"/>
        <c:axId val="544092912"/>
        <c:axId val="391718672"/>
      </c:barChart>
      <c:catAx>
        <c:axId val="54409291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391718672"/>
        <c:crosses val="autoZero"/>
        <c:auto val="1"/>
        <c:lblAlgn val="ctr"/>
        <c:lblOffset val="100"/>
        <c:noMultiLvlLbl val="0"/>
      </c:catAx>
      <c:valAx>
        <c:axId val="391718672"/>
        <c:scaling>
          <c:orientation val="minMax"/>
        </c:scaling>
        <c:delete val="1"/>
        <c:axPos val="l"/>
        <c:numFmt formatCode="0%" sourceLinked="1"/>
        <c:majorTickMark val="out"/>
        <c:minorTickMark val="none"/>
        <c:tickLblPos val="nextTo"/>
        <c:crossAx val="544092912"/>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Analysis!$B$862</c:f>
              <c:strCache>
                <c:ptCount val="1"/>
                <c:pt idx="0">
                  <c:v>Gross Profit</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Analysis!$C$861:$D$861</c:f>
              <c:numCache>
                <c:formatCode>General</c:formatCode>
                <c:ptCount val="2"/>
                <c:pt idx="0">
                  <c:v>2024</c:v>
                </c:pt>
                <c:pt idx="1">
                  <c:v>2025</c:v>
                </c:pt>
              </c:numCache>
            </c:numRef>
          </c:cat>
          <c:val>
            <c:numRef>
              <c:f>Analysis!$C$862:$D$862</c:f>
              <c:numCache>
                <c:formatCode>0%</c:formatCode>
                <c:ptCount val="2"/>
                <c:pt idx="0">
                  <c:v>-0.2756500938694415</c:v>
                </c:pt>
                <c:pt idx="1">
                  <c:v>-0.20926669658262986</c:v>
                </c:pt>
              </c:numCache>
            </c:numRef>
          </c:val>
          <c:extLst>
            <c:ext xmlns:c16="http://schemas.microsoft.com/office/drawing/2014/chart" uri="{C3380CC4-5D6E-409C-BE32-E72D297353CC}">
              <c16:uniqueId val="{00000000-A0A9-4FA4-86A1-DCFECBB004F1}"/>
            </c:ext>
          </c:extLst>
        </c:ser>
        <c:ser>
          <c:idx val="1"/>
          <c:order val="1"/>
          <c:tx>
            <c:strRef>
              <c:f>Analysis!$B$863</c:f>
              <c:strCache>
                <c:ptCount val="1"/>
                <c:pt idx="0">
                  <c:v>EBITDA</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Analysis!$C$861:$D$861</c:f>
              <c:numCache>
                <c:formatCode>General</c:formatCode>
                <c:ptCount val="2"/>
                <c:pt idx="0">
                  <c:v>2024</c:v>
                </c:pt>
                <c:pt idx="1">
                  <c:v>2025</c:v>
                </c:pt>
              </c:numCache>
            </c:numRef>
          </c:cat>
          <c:val>
            <c:numRef>
              <c:f>Analysis!$C$863:$D$863</c:f>
              <c:numCache>
                <c:formatCode>0%</c:formatCode>
                <c:ptCount val="2"/>
                <c:pt idx="0">
                  <c:v>-0.32470331554529652</c:v>
                </c:pt>
                <c:pt idx="1">
                  <c:v>-0.21588539925668437</c:v>
                </c:pt>
              </c:numCache>
            </c:numRef>
          </c:val>
          <c:extLst>
            <c:ext xmlns:c16="http://schemas.microsoft.com/office/drawing/2014/chart" uri="{C3380CC4-5D6E-409C-BE32-E72D297353CC}">
              <c16:uniqueId val="{00000001-A0A9-4FA4-86A1-DCFECBB004F1}"/>
            </c:ext>
          </c:extLst>
        </c:ser>
        <c:dLbls>
          <c:showLegendKey val="0"/>
          <c:showVal val="0"/>
          <c:showCatName val="0"/>
          <c:showSerName val="0"/>
          <c:showPercent val="0"/>
          <c:showBubbleSize val="0"/>
        </c:dLbls>
        <c:gapWidth val="30"/>
        <c:overlap val="-27"/>
        <c:axId val="744652848"/>
        <c:axId val="554589520"/>
      </c:barChart>
      <c:catAx>
        <c:axId val="74465284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554589520"/>
        <c:crosses val="autoZero"/>
        <c:auto val="1"/>
        <c:lblAlgn val="ctr"/>
        <c:lblOffset val="100"/>
        <c:noMultiLvlLbl val="0"/>
      </c:catAx>
      <c:valAx>
        <c:axId val="554589520"/>
        <c:scaling>
          <c:orientation val="minMax"/>
        </c:scaling>
        <c:delete val="1"/>
        <c:axPos val="l"/>
        <c:numFmt formatCode="0%" sourceLinked="1"/>
        <c:majorTickMark val="out"/>
        <c:minorTickMark val="none"/>
        <c:tickLblPos val="nextTo"/>
        <c:crossAx val="744652848"/>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5400" cap="rnd">
              <a:solidFill>
                <a:srgbClr val="26323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Analysis!$E$870:$P$870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Analysis!$E$871:$P$871</c:f>
              <c:numCache>
                <c:formatCode>0%</c:formatCode>
                <c:ptCount val="12"/>
                <c:pt idx="0">
                  <c:v>0.87389865474706685</c:v>
                </c:pt>
                <c:pt idx="1">
                  <c:v>0.46745562130177531</c:v>
                </c:pt>
                <c:pt idx="2">
                  <c:v>0.56404598769016356</c:v>
                </c:pt>
                <c:pt idx="3">
                  <c:v>0.41645244215938315</c:v>
                </c:pt>
                <c:pt idx="4">
                  <c:v>0.41743119266055051</c:v>
                </c:pt>
                <c:pt idx="5">
                  <c:v>0.42540322580645196</c:v>
                </c:pt>
                <c:pt idx="6">
                  <c:v>0.38290763290763286</c:v>
                </c:pt>
                <c:pt idx="7">
                  <c:v>0</c:v>
                </c:pt>
                <c:pt idx="8">
                  <c:v>0</c:v>
                </c:pt>
                <c:pt idx="9">
                  <c:v>-7.553041018387574E-2</c:v>
                </c:pt>
                <c:pt idx="10">
                  <c:v>-2.6845637583893245E-3</c:v>
                </c:pt>
                <c:pt idx="11">
                  <c:v>0.21500357980167228</c:v>
                </c:pt>
              </c:numCache>
            </c:numRef>
          </c:val>
          <c:smooth val="0"/>
          <c:extLst>
            <c:ext xmlns:c16="http://schemas.microsoft.com/office/drawing/2014/chart" uri="{C3380CC4-5D6E-409C-BE32-E72D297353CC}">
              <c16:uniqueId val="{00000000-91E0-4688-BFD7-0897C48A18D2}"/>
            </c:ext>
          </c:extLst>
        </c:ser>
        <c:dLbls>
          <c:showLegendKey val="0"/>
          <c:showVal val="0"/>
          <c:showCatName val="0"/>
          <c:showSerName val="0"/>
          <c:showPercent val="0"/>
          <c:showBubbleSize val="0"/>
        </c:dLbls>
        <c:smooth val="0"/>
        <c:axId val="802197136"/>
        <c:axId val="797174816"/>
      </c:lineChart>
      <c:catAx>
        <c:axId val="802197136"/>
        <c:scaling>
          <c:orientation val="minMax"/>
        </c:scaling>
        <c:delete val="0"/>
        <c:axPos val="b"/>
        <c:numFmt formatCode="0%"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797174816"/>
        <c:crosses val="autoZero"/>
        <c:auto val="1"/>
        <c:lblAlgn val="ctr"/>
        <c:lblOffset val="100"/>
        <c:noMultiLvlLbl val="0"/>
      </c:catAx>
      <c:valAx>
        <c:axId val="797174816"/>
        <c:scaling>
          <c:orientation val="minMax"/>
        </c:scaling>
        <c:delete val="1"/>
        <c:axPos val="l"/>
        <c:numFmt formatCode="0%" sourceLinked="1"/>
        <c:majorTickMark val="out"/>
        <c:minorTickMark val="none"/>
        <c:tickLblPos val="nextTo"/>
        <c:crossAx val="80219713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Analysis!$B$1010:$B$1012</c:f>
              <c:strCache>
                <c:ptCount val="3"/>
                <c:pt idx="0">
                  <c:v>Jan and Feb average</c:v>
                </c:pt>
                <c:pt idx="1">
                  <c:v>March</c:v>
                </c:pt>
                <c:pt idx="2">
                  <c:v>Per month Q2-Q4</c:v>
                </c:pt>
              </c:strCache>
            </c:strRef>
          </c:cat>
          <c:val>
            <c:numRef>
              <c:f>Analysis!$D$1010:$D$1012</c:f>
              <c:numCache>
                <c:formatCode>General</c:formatCode>
                <c:ptCount val="3"/>
                <c:pt idx="0" formatCode="0">
                  <c:v>19</c:v>
                </c:pt>
                <c:pt idx="1">
                  <c:v>25</c:v>
                </c:pt>
                <c:pt idx="2" formatCode="0">
                  <c:v>30.666666666666668</c:v>
                </c:pt>
              </c:numCache>
            </c:numRef>
          </c:val>
          <c:extLst>
            <c:ext xmlns:c16="http://schemas.microsoft.com/office/drawing/2014/chart" uri="{C3380CC4-5D6E-409C-BE32-E72D297353CC}">
              <c16:uniqueId val="{00000000-767D-4103-A0AE-B1A9F6791511}"/>
            </c:ext>
          </c:extLst>
        </c:ser>
        <c:dLbls>
          <c:showLegendKey val="0"/>
          <c:showVal val="0"/>
          <c:showCatName val="0"/>
          <c:showSerName val="0"/>
          <c:showPercent val="0"/>
          <c:showBubbleSize val="0"/>
        </c:dLbls>
        <c:gapWidth val="30"/>
        <c:overlap val="-27"/>
        <c:axId val="1019277360"/>
        <c:axId val="1019258160"/>
      </c:barChart>
      <c:catAx>
        <c:axId val="1019277360"/>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019258160"/>
        <c:crosses val="autoZero"/>
        <c:auto val="1"/>
        <c:lblAlgn val="ctr"/>
        <c:lblOffset val="100"/>
        <c:noMultiLvlLbl val="0"/>
      </c:catAx>
      <c:valAx>
        <c:axId val="1019258160"/>
        <c:scaling>
          <c:orientation val="minMax"/>
        </c:scaling>
        <c:delete val="1"/>
        <c:axPos val="l"/>
        <c:numFmt formatCode="0" sourceLinked="1"/>
        <c:majorTickMark val="out"/>
        <c:minorTickMark val="none"/>
        <c:tickLblPos val="nextTo"/>
        <c:crossAx val="1019277360"/>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Analysis!$B$1048</c:f>
              <c:strCache>
                <c:ptCount val="1"/>
                <c:pt idx="0">
                  <c:v>Temu</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Analysis!$C$1047:$N$1047</c:f>
              <c:strCache>
                <c:ptCount val="12"/>
                <c:pt idx="0">
                  <c:v>Jan </c:v>
                </c:pt>
                <c:pt idx="1">
                  <c:v>Feb </c:v>
                </c:pt>
                <c:pt idx="2">
                  <c:v>Mar</c:v>
                </c:pt>
                <c:pt idx="3">
                  <c:v>Apr</c:v>
                </c:pt>
                <c:pt idx="4">
                  <c:v>May</c:v>
                </c:pt>
                <c:pt idx="5">
                  <c:v>Jun</c:v>
                </c:pt>
                <c:pt idx="6">
                  <c:v>Jul</c:v>
                </c:pt>
                <c:pt idx="7">
                  <c:v>Aug</c:v>
                </c:pt>
                <c:pt idx="8">
                  <c:v>Sep</c:v>
                </c:pt>
                <c:pt idx="9">
                  <c:v>Oct</c:v>
                </c:pt>
                <c:pt idx="10">
                  <c:v>Nov</c:v>
                </c:pt>
                <c:pt idx="11">
                  <c:v>Dec</c:v>
                </c:pt>
              </c:strCache>
            </c:strRef>
          </c:cat>
          <c:val>
            <c:numRef>
              <c:f>Analysis!$C$1048:$N$1048</c:f>
              <c:numCache>
                <c:formatCode>0</c:formatCode>
                <c:ptCount val="12"/>
                <c:pt idx="0">
                  <c:v>19</c:v>
                </c:pt>
                <c:pt idx="1">
                  <c:v>19</c:v>
                </c:pt>
                <c:pt idx="2">
                  <c:v>25</c:v>
                </c:pt>
                <c:pt idx="3">
                  <c:v>21</c:v>
                </c:pt>
                <c:pt idx="4">
                  <c:v>22</c:v>
                </c:pt>
                <c:pt idx="5">
                  <c:v>22.36</c:v>
                </c:pt>
                <c:pt idx="6">
                  <c:v>23</c:v>
                </c:pt>
                <c:pt idx="7">
                  <c:v>23</c:v>
                </c:pt>
                <c:pt idx="8">
                  <c:v>23.299999999999997</c:v>
                </c:pt>
                <c:pt idx="9">
                  <c:v>25</c:v>
                </c:pt>
                <c:pt idx="10">
                  <c:v>25</c:v>
                </c:pt>
                <c:pt idx="11">
                  <c:v>24.928750228136906</c:v>
                </c:pt>
              </c:numCache>
            </c:numRef>
          </c:val>
          <c:extLst>
            <c:ext xmlns:c16="http://schemas.microsoft.com/office/drawing/2014/chart" uri="{C3380CC4-5D6E-409C-BE32-E72D297353CC}">
              <c16:uniqueId val="{00000000-24D5-43A8-A0AA-B2B77877989F}"/>
            </c:ext>
          </c:extLst>
        </c:ser>
        <c:ser>
          <c:idx val="1"/>
          <c:order val="1"/>
          <c:tx>
            <c:strRef>
              <c:f>Analysis!$B$1049</c:f>
              <c:strCache>
                <c:ptCount val="1"/>
                <c:pt idx="0">
                  <c:v>DLO underlying</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Analysis!$C$1047:$N$1047</c:f>
              <c:strCache>
                <c:ptCount val="12"/>
                <c:pt idx="0">
                  <c:v>Jan </c:v>
                </c:pt>
                <c:pt idx="1">
                  <c:v>Feb </c:v>
                </c:pt>
                <c:pt idx="2">
                  <c:v>Mar</c:v>
                </c:pt>
                <c:pt idx="3">
                  <c:v>Apr</c:v>
                </c:pt>
                <c:pt idx="4">
                  <c:v>May</c:v>
                </c:pt>
                <c:pt idx="5">
                  <c:v>Jun</c:v>
                </c:pt>
                <c:pt idx="6">
                  <c:v>Jul</c:v>
                </c:pt>
                <c:pt idx="7">
                  <c:v>Aug</c:v>
                </c:pt>
                <c:pt idx="8">
                  <c:v>Sep</c:v>
                </c:pt>
                <c:pt idx="9">
                  <c:v>Oct</c:v>
                </c:pt>
                <c:pt idx="10">
                  <c:v>Nov</c:v>
                </c:pt>
                <c:pt idx="11">
                  <c:v>Dec</c:v>
                </c:pt>
              </c:strCache>
            </c:strRef>
          </c:cat>
          <c:val>
            <c:numRef>
              <c:f>Analysis!$C$1049:$N$1049</c:f>
              <c:numCache>
                <c:formatCode>General</c:formatCode>
                <c:ptCount val="12"/>
                <c:pt idx="6">
                  <c:v>1</c:v>
                </c:pt>
                <c:pt idx="7">
                  <c:v>2</c:v>
                </c:pt>
                <c:pt idx="8">
                  <c:v>2</c:v>
                </c:pt>
                <c:pt idx="9">
                  <c:v>2</c:v>
                </c:pt>
                <c:pt idx="10">
                  <c:v>3</c:v>
                </c:pt>
                <c:pt idx="11">
                  <c:v>5</c:v>
                </c:pt>
              </c:numCache>
            </c:numRef>
          </c:val>
          <c:extLst>
            <c:ext xmlns:c16="http://schemas.microsoft.com/office/drawing/2014/chart" uri="{C3380CC4-5D6E-409C-BE32-E72D297353CC}">
              <c16:uniqueId val="{00000001-24D5-43A8-A0AA-B2B77877989F}"/>
            </c:ext>
          </c:extLst>
        </c:ser>
        <c:dLbls>
          <c:showLegendKey val="0"/>
          <c:showVal val="0"/>
          <c:showCatName val="0"/>
          <c:showSerName val="0"/>
          <c:showPercent val="0"/>
          <c:showBubbleSize val="0"/>
        </c:dLbls>
        <c:gapWidth val="30"/>
        <c:overlap val="100"/>
        <c:axId val="1590506191"/>
        <c:axId val="1590522511"/>
      </c:barChart>
      <c:catAx>
        <c:axId val="1590506191"/>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590522511"/>
        <c:crosses val="autoZero"/>
        <c:auto val="1"/>
        <c:lblAlgn val="ctr"/>
        <c:lblOffset val="100"/>
        <c:noMultiLvlLbl val="0"/>
      </c:catAx>
      <c:valAx>
        <c:axId val="1590522511"/>
        <c:scaling>
          <c:orientation val="minMax"/>
        </c:scaling>
        <c:delete val="1"/>
        <c:axPos val="l"/>
        <c:numFmt formatCode="0" sourceLinked="1"/>
        <c:majorTickMark val="out"/>
        <c:minorTickMark val="none"/>
        <c:tickLblPos val="nextTo"/>
        <c:crossAx val="1590506191"/>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Analysis!$D$1059:$K$1059</c:f>
              <c:strCache>
                <c:ptCount val="8"/>
                <c:pt idx="0">
                  <c:v>Q1 23</c:v>
                </c:pt>
                <c:pt idx="1">
                  <c:v>Q2 23</c:v>
                </c:pt>
                <c:pt idx="2">
                  <c:v>Q3 23</c:v>
                </c:pt>
                <c:pt idx="3">
                  <c:v>Q4 23</c:v>
                </c:pt>
                <c:pt idx="4">
                  <c:v>Q1 24</c:v>
                </c:pt>
                <c:pt idx="5">
                  <c:v>Q2 24E</c:v>
                </c:pt>
                <c:pt idx="6">
                  <c:v>Q3 24E</c:v>
                </c:pt>
                <c:pt idx="7">
                  <c:v>Q4 24E</c:v>
                </c:pt>
              </c:strCache>
            </c:strRef>
          </c:cat>
          <c:val>
            <c:numRef>
              <c:f>Analysis!$D$1083:$K$1083</c:f>
              <c:numCache>
                <c:formatCode>0</c:formatCode>
                <c:ptCount val="8"/>
                <c:pt idx="0">
                  <c:v>61.800000000000004</c:v>
                </c:pt>
                <c:pt idx="1">
                  <c:v>70.700000000000017</c:v>
                </c:pt>
                <c:pt idx="2">
                  <c:v>74.5</c:v>
                </c:pt>
                <c:pt idx="3">
                  <c:v>69.900000000000006</c:v>
                </c:pt>
                <c:pt idx="4">
                  <c:v>63</c:v>
                </c:pt>
                <c:pt idx="5">
                  <c:v>65.36</c:v>
                </c:pt>
                <c:pt idx="6">
                  <c:v>74.3</c:v>
                </c:pt>
                <c:pt idx="7">
                  <c:v>84.928750228136906</c:v>
                </c:pt>
              </c:numCache>
            </c:numRef>
          </c:val>
          <c:extLst>
            <c:ext xmlns:c16="http://schemas.microsoft.com/office/drawing/2014/chart" uri="{C3380CC4-5D6E-409C-BE32-E72D297353CC}">
              <c16:uniqueId val="{00000000-83F8-40E1-A768-C0B9B4EA0614}"/>
            </c:ext>
          </c:extLst>
        </c:ser>
        <c:dLbls>
          <c:showLegendKey val="0"/>
          <c:showVal val="0"/>
          <c:showCatName val="0"/>
          <c:showSerName val="0"/>
          <c:showPercent val="0"/>
          <c:showBubbleSize val="0"/>
        </c:dLbls>
        <c:gapWidth val="30"/>
        <c:overlap val="-27"/>
        <c:axId val="817713744"/>
        <c:axId val="817699344"/>
      </c:barChart>
      <c:catAx>
        <c:axId val="817713744"/>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817699344"/>
        <c:crosses val="autoZero"/>
        <c:auto val="1"/>
        <c:lblAlgn val="ctr"/>
        <c:lblOffset val="100"/>
        <c:noMultiLvlLbl val="0"/>
      </c:catAx>
      <c:valAx>
        <c:axId val="817699344"/>
        <c:scaling>
          <c:orientation val="minMax"/>
        </c:scaling>
        <c:delete val="1"/>
        <c:axPos val="l"/>
        <c:numFmt formatCode="0" sourceLinked="1"/>
        <c:majorTickMark val="out"/>
        <c:minorTickMark val="none"/>
        <c:tickLblPos val="nextTo"/>
        <c:crossAx val="81771374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'Guide-Cons'!$B$55</c:f>
              <c:strCache>
                <c:ptCount val="1"/>
                <c:pt idx="0">
                  <c:v>Gross profit</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'Guide-Cons'!$C$54:$D$54</c:f>
              <c:numCache>
                <c:formatCode>General</c:formatCode>
                <c:ptCount val="2"/>
                <c:pt idx="0">
                  <c:v>2024</c:v>
                </c:pt>
                <c:pt idx="1">
                  <c:v>2025</c:v>
                </c:pt>
              </c:numCache>
            </c:numRef>
          </c:cat>
          <c:val>
            <c:numRef>
              <c:f>'Guide-Cons'!$C$55:$D$55</c:f>
              <c:numCache>
                <c:formatCode>0%</c:formatCode>
                <c:ptCount val="2"/>
                <c:pt idx="0">
                  <c:v>-0.17596346639502314</c:v>
                </c:pt>
                <c:pt idx="1">
                  <c:v>-0.18945197746781106</c:v>
                </c:pt>
              </c:numCache>
            </c:numRef>
          </c:val>
          <c:extLst>
            <c:ext xmlns:c16="http://schemas.microsoft.com/office/drawing/2014/chart" uri="{C3380CC4-5D6E-409C-BE32-E72D297353CC}">
              <c16:uniqueId val="{00000000-8F35-4991-B5AC-06372970FA78}"/>
            </c:ext>
          </c:extLst>
        </c:ser>
        <c:ser>
          <c:idx val="1"/>
          <c:order val="1"/>
          <c:tx>
            <c:strRef>
              <c:f>'Guide-Cons'!$B$56</c:f>
              <c:strCache>
                <c:ptCount val="1"/>
                <c:pt idx="0">
                  <c:v>EBITDA</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'Guide-Cons'!$C$54:$D$54</c:f>
              <c:numCache>
                <c:formatCode>General</c:formatCode>
                <c:ptCount val="2"/>
                <c:pt idx="0">
                  <c:v>2024</c:v>
                </c:pt>
                <c:pt idx="1">
                  <c:v>2025</c:v>
                </c:pt>
              </c:numCache>
            </c:numRef>
          </c:cat>
          <c:val>
            <c:numRef>
              <c:f>'Guide-Cons'!$C$56:$D$56</c:f>
              <c:numCache>
                <c:formatCode>0%</c:formatCode>
                <c:ptCount val="2"/>
                <c:pt idx="0">
                  <c:v>-0.1640219812185173</c:v>
                </c:pt>
                <c:pt idx="1">
                  <c:v>-0.14960396676470589</c:v>
                </c:pt>
              </c:numCache>
            </c:numRef>
          </c:val>
          <c:extLst>
            <c:ext xmlns:c16="http://schemas.microsoft.com/office/drawing/2014/chart" uri="{C3380CC4-5D6E-409C-BE32-E72D297353CC}">
              <c16:uniqueId val="{00000001-8F35-4991-B5AC-06372970FA78}"/>
            </c:ext>
          </c:extLst>
        </c:ser>
        <c:dLbls>
          <c:showLegendKey val="0"/>
          <c:showVal val="0"/>
          <c:showCatName val="0"/>
          <c:showSerName val="0"/>
          <c:showPercent val="0"/>
          <c:showBubbleSize val="0"/>
        </c:dLbls>
        <c:gapWidth val="30"/>
        <c:overlap val="-27"/>
        <c:axId val="802222096"/>
        <c:axId val="42935312"/>
      </c:barChart>
      <c:catAx>
        <c:axId val="802222096"/>
        <c:scaling>
          <c:orientation val="minMax"/>
        </c:scaling>
        <c:delete val="0"/>
        <c:axPos val="b"/>
        <c:numFmt formatCode="General" sourceLinked="1"/>
        <c:majorTickMark val="out"/>
        <c:minorTickMark val="none"/>
        <c:tickLblPos val="low"/>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42935312"/>
        <c:crosses val="autoZero"/>
        <c:auto val="1"/>
        <c:lblAlgn val="ctr"/>
        <c:lblOffset val="100"/>
        <c:noMultiLvlLbl val="0"/>
      </c:catAx>
      <c:valAx>
        <c:axId val="42935312"/>
        <c:scaling>
          <c:orientation val="minMax"/>
        </c:scaling>
        <c:delete val="1"/>
        <c:axPos val="l"/>
        <c:numFmt formatCode="0%" sourceLinked="1"/>
        <c:majorTickMark val="out"/>
        <c:minorTickMark val="none"/>
        <c:tickLblPos val="nextTo"/>
        <c:crossAx val="80222209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w="25400">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Quarts!$AL$2:$AW$2</c:f>
              <c:strCache>
                <c:ptCount val="12"/>
                <c:pt idx="0">
                  <c:v>Q2 20</c:v>
                </c:pt>
                <c:pt idx="1">
                  <c:v>Q3 20</c:v>
                </c:pt>
                <c:pt idx="2">
                  <c:v>Q4 20</c:v>
                </c:pt>
                <c:pt idx="3">
                  <c:v>Q1 21</c:v>
                </c:pt>
                <c:pt idx="4">
                  <c:v>Q2 21</c:v>
                </c:pt>
                <c:pt idx="5">
                  <c:v>Q3 21</c:v>
                </c:pt>
                <c:pt idx="6">
                  <c:v>Q4 21</c:v>
                </c:pt>
                <c:pt idx="7">
                  <c:v>Q1 22</c:v>
                </c:pt>
                <c:pt idx="8">
                  <c:v>Q2 22</c:v>
                </c:pt>
                <c:pt idx="9">
                  <c:v>Q3 22</c:v>
                </c:pt>
                <c:pt idx="10">
                  <c:v>Q4 22</c:v>
                </c:pt>
                <c:pt idx="11">
                  <c:v>Q1 23</c:v>
                </c:pt>
              </c:strCache>
            </c:strRef>
          </c:cat>
          <c:val>
            <c:numRef>
              <c:f>Quarts!$AL$35:$AW$35</c:f>
              <c:numCache>
                <c:formatCode>0%</c:formatCode>
                <c:ptCount val="12"/>
                <c:pt idx="0">
                  <c:v>0.47908009743516256</c:v>
                </c:pt>
                <c:pt idx="1">
                  <c:v>0.95860580280617125</c:v>
                </c:pt>
                <c:pt idx="2">
                  <c:v>0.94428547382595518</c:v>
                </c:pt>
                <c:pt idx="3">
                  <c:v>1.2370658516254514</c:v>
                </c:pt>
                <c:pt idx="4">
                  <c:v>1.8578348268345848</c:v>
                </c:pt>
                <c:pt idx="5">
                  <c:v>1.2236628849270663</c:v>
                </c:pt>
                <c:pt idx="6">
                  <c:v>1.2018295674256199</c:v>
                </c:pt>
                <c:pt idx="7">
                  <c:v>1.1735890302066774</c:v>
                </c:pt>
                <c:pt idx="8">
                  <c:v>0.71525423728813564</c:v>
                </c:pt>
                <c:pt idx="9">
                  <c:v>0.63119533527696814</c:v>
                </c:pt>
                <c:pt idx="10">
                  <c:v>0.5517693315858454</c:v>
                </c:pt>
                <c:pt idx="11">
                  <c:v>0.56914285714285717</c:v>
                </c:pt>
              </c:numCache>
            </c:numRef>
          </c:val>
          <c:extLst>
            <c:ext xmlns:c16="http://schemas.microsoft.com/office/drawing/2014/chart" uri="{C3380CC4-5D6E-409C-BE32-E72D297353CC}">
              <c16:uniqueId val="{00000000-587E-486E-9678-ACF272CEB5FC}"/>
            </c:ext>
          </c:extLst>
        </c:ser>
        <c:dLbls>
          <c:showLegendKey val="0"/>
          <c:showVal val="0"/>
          <c:showCatName val="0"/>
          <c:showSerName val="0"/>
          <c:showPercent val="0"/>
          <c:showBubbleSize val="0"/>
        </c:dLbls>
        <c:gapWidth val="30"/>
        <c:overlap val="-27"/>
        <c:axId val="1130411368"/>
        <c:axId val="1130412352"/>
      </c:barChart>
      <c:catAx>
        <c:axId val="113041136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1130412352"/>
        <c:crosses val="autoZero"/>
        <c:auto val="1"/>
        <c:lblAlgn val="ctr"/>
        <c:lblOffset val="100"/>
        <c:noMultiLvlLbl val="0"/>
      </c:catAx>
      <c:valAx>
        <c:axId val="1130412352"/>
        <c:scaling>
          <c:orientation val="minMax"/>
        </c:scaling>
        <c:delete val="1"/>
        <c:axPos val="l"/>
        <c:numFmt formatCode="0%" sourceLinked="1"/>
        <c:majorTickMark val="out"/>
        <c:minorTickMark val="none"/>
        <c:tickLblPos val="nextTo"/>
        <c:crossAx val="113041136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Analysis!$K$8</c:f>
              <c:strCache>
                <c:ptCount val="1"/>
                <c:pt idx="0">
                  <c:v>Pay-in</c:v>
                </c:pt>
              </c:strCache>
            </c:strRef>
          </c:tx>
          <c:spPr>
            <a:solidFill>
              <a:srgbClr val="000080"/>
            </a:solidFill>
            <a:ln w="25400">
              <a:noFill/>
            </a:ln>
            <a:effectLst/>
          </c:spPr>
          <c:invertIfNegative val="0"/>
          <c:cat>
            <c:strRef>
              <c:f>Analysis!$L$7:$M$7</c:f>
              <c:strCache>
                <c:ptCount val="2"/>
                <c:pt idx="0">
                  <c:v>Ex-India</c:v>
                </c:pt>
                <c:pt idx="1">
                  <c:v>Inc   India</c:v>
                </c:pt>
              </c:strCache>
            </c:strRef>
          </c:cat>
          <c:val>
            <c:numRef>
              <c:f>Analysis!$L$8:$M$8</c:f>
              <c:numCache>
                <c:formatCode>General</c:formatCode>
                <c:ptCount val="2"/>
                <c:pt idx="0">
                  <c:v>356.4</c:v>
                </c:pt>
                <c:pt idx="1">
                  <c:v>356.4</c:v>
                </c:pt>
              </c:numCache>
            </c:numRef>
          </c:val>
          <c:extLst>
            <c:ext xmlns:c16="http://schemas.microsoft.com/office/drawing/2014/chart" uri="{C3380CC4-5D6E-409C-BE32-E72D297353CC}">
              <c16:uniqueId val="{00000000-7018-4325-88E1-EB496DBB1223}"/>
            </c:ext>
          </c:extLst>
        </c:ser>
        <c:ser>
          <c:idx val="1"/>
          <c:order val="1"/>
          <c:tx>
            <c:strRef>
              <c:f>Analysis!$K$9</c:f>
              <c:strCache>
                <c:ptCount val="1"/>
                <c:pt idx="0">
                  <c:v>Pay-out</c:v>
                </c:pt>
              </c:strCache>
            </c:strRef>
          </c:tx>
          <c:spPr>
            <a:solidFill>
              <a:srgbClr val="9999FF"/>
            </a:solidFill>
            <a:ln w="25400">
              <a:noFill/>
            </a:ln>
            <a:effectLst/>
          </c:spPr>
          <c:invertIfNegative val="0"/>
          <c:cat>
            <c:strRef>
              <c:f>Analysis!$L$7:$M$7</c:f>
              <c:strCache>
                <c:ptCount val="2"/>
                <c:pt idx="0">
                  <c:v>Ex-India</c:v>
                </c:pt>
                <c:pt idx="1">
                  <c:v>Inc   India</c:v>
                </c:pt>
              </c:strCache>
            </c:strRef>
          </c:cat>
          <c:val>
            <c:numRef>
              <c:f>Analysis!$L$9:$M$9</c:f>
              <c:numCache>
                <c:formatCode>#,##0</c:formatCode>
                <c:ptCount val="2"/>
                <c:pt idx="0" formatCode="General">
                  <c:v>172.29999999999995</c:v>
                </c:pt>
                <c:pt idx="1">
                  <c:v>814.19999999999993</c:v>
                </c:pt>
              </c:numCache>
            </c:numRef>
          </c:val>
          <c:extLst>
            <c:ext xmlns:c16="http://schemas.microsoft.com/office/drawing/2014/chart" uri="{C3380CC4-5D6E-409C-BE32-E72D297353CC}">
              <c16:uniqueId val="{00000001-7018-4325-88E1-EB496DBB1223}"/>
            </c:ext>
          </c:extLst>
        </c:ser>
        <c:dLbls>
          <c:showLegendKey val="0"/>
          <c:showVal val="0"/>
          <c:showCatName val="0"/>
          <c:showSerName val="0"/>
          <c:showPercent val="0"/>
          <c:showBubbleSize val="0"/>
        </c:dLbls>
        <c:gapWidth val="150"/>
        <c:overlap val="100"/>
        <c:axId val="1037440656"/>
        <c:axId val="1037437048"/>
      </c:barChart>
      <c:catAx>
        <c:axId val="103744065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037437048"/>
        <c:crosses val="autoZero"/>
        <c:auto val="1"/>
        <c:lblAlgn val="ctr"/>
        <c:lblOffset val="100"/>
        <c:noMultiLvlLbl val="0"/>
      </c:catAx>
      <c:valAx>
        <c:axId val="1037437048"/>
        <c:scaling>
          <c:orientation val="minMax"/>
        </c:scaling>
        <c:delete val="0"/>
        <c:axPos val="l"/>
        <c:majorGridlines>
          <c:spPr>
            <a:ln w="3175" cap="flat" cmpd="sng" algn="ctr">
              <a:solidFill>
                <a:srgbClr val="C0C0C0"/>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r>
                  <a:rPr lang="en-US"/>
                  <a:t>USD billion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title>
        <c:numFmt formatCode="#,##0" sourceLinked="0"/>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03744065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w="25400">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Quarts!$AK$2:$AV$2</c:f>
              <c:strCache>
                <c:ptCount val="12"/>
                <c:pt idx="0">
                  <c:v>Q1 20</c:v>
                </c:pt>
                <c:pt idx="1">
                  <c:v>Q2 20</c:v>
                </c:pt>
                <c:pt idx="2">
                  <c:v>Q3 20</c:v>
                </c:pt>
                <c:pt idx="3">
                  <c:v>Q4 20</c:v>
                </c:pt>
                <c:pt idx="4">
                  <c:v>Q1 21</c:v>
                </c:pt>
                <c:pt idx="5">
                  <c:v>Q2 21</c:v>
                </c:pt>
                <c:pt idx="6">
                  <c:v>Q3 21</c:v>
                </c:pt>
                <c:pt idx="7">
                  <c:v>Q4 21</c:v>
                </c:pt>
                <c:pt idx="8">
                  <c:v>Q1 22</c:v>
                </c:pt>
                <c:pt idx="9">
                  <c:v>Q2 22</c:v>
                </c:pt>
                <c:pt idx="10">
                  <c:v>Q3 22</c:v>
                </c:pt>
                <c:pt idx="11">
                  <c:v>Q4 22</c:v>
                </c:pt>
              </c:strCache>
            </c:strRef>
          </c:cat>
          <c:val>
            <c:numRef>
              <c:f>Quarts!$AK$63:$AV$63</c:f>
              <c:numCache>
                <c:formatCode>0%</c:formatCode>
                <c:ptCount val="12"/>
                <c:pt idx="0">
                  <c:v>2.0250133961940233</c:v>
                </c:pt>
                <c:pt idx="1">
                  <c:v>0.23958139795335032</c:v>
                </c:pt>
                <c:pt idx="2">
                  <c:v>0.58866497676700735</c:v>
                </c:pt>
                <c:pt idx="3">
                  <c:v>0.73723850593810814</c:v>
                </c:pt>
                <c:pt idx="4">
                  <c:v>1.1256672792508966</c:v>
                </c:pt>
                <c:pt idx="5">
                  <c:v>1.9240528582965948</c:v>
                </c:pt>
                <c:pt idx="6">
                  <c:v>1.0564097049625047</c:v>
                </c:pt>
                <c:pt idx="7">
                  <c:v>0.89542821699040198</c:v>
                </c:pt>
                <c:pt idx="8">
                  <c:v>0.89790037052284899</c:v>
                </c:pt>
                <c:pt idx="9">
                  <c:v>0.47592067988668574</c:v>
                </c:pt>
                <c:pt idx="10">
                  <c:v>0.55361650751838432</c:v>
                </c:pt>
                <c:pt idx="11">
                  <c:v>0.42059443817744824</c:v>
                </c:pt>
              </c:numCache>
            </c:numRef>
          </c:val>
          <c:extLst>
            <c:ext xmlns:c16="http://schemas.microsoft.com/office/drawing/2014/chart" uri="{C3380CC4-5D6E-409C-BE32-E72D297353CC}">
              <c16:uniqueId val="{00000000-EC58-4068-B81E-5C998E5160B7}"/>
            </c:ext>
          </c:extLst>
        </c:ser>
        <c:dLbls>
          <c:showLegendKey val="0"/>
          <c:showVal val="0"/>
          <c:showCatName val="0"/>
          <c:showSerName val="0"/>
          <c:showPercent val="0"/>
          <c:showBubbleSize val="0"/>
        </c:dLbls>
        <c:gapWidth val="30"/>
        <c:overlap val="-27"/>
        <c:axId val="1130411368"/>
        <c:axId val="1130412352"/>
      </c:barChart>
      <c:catAx>
        <c:axId val="113041136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1130412352"/>
        <c:crosses val="autoZero"/>
        <c:auto val="1"/>
        <c:lblAlgn val="ctr"/>
        <c:lblOffset val="100"/>
        <c:noMultiLvlLbl val="0"/>
      </c:catAx>
      <c:valAx>
        <c:axId val="1130412352"/>
        <c:scaling>
          <c:orientation val="minMax"/>
        </c:scaling>
        <c:delete val="1"/>
        <c:axPos val="l"/>
        <c:numFmt formatCode="0%" sourceLinked="1"/>
        <c:majorTickMark val="out"/>
        <c:minorTickMark val="none"/>
        <c:tickLblPos val="nextTo"/>
        <c:crossAx val="113041136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w="25400">
              <a:noFill/>
            </a:ln>
            <a:effectLst/>
          </c:spPr>
          <c:invertIfNegative val="0"/>
          <c:dPt>
            <c:idx val="6"/>
            <c:invertIfNegative val="0"/>
            <c:bubble3D val="0"/>
            <c:spPr>
              <a:solidFill>
                <a:srgbClr val="263238"/>
              </a:solidFill>
              <a:ln w="25400">
                <a:noFill/>
              </a:ln>
              <a:effectLst/>
            </c:spPr>
            <c:extLst>
              <c:ext xmlns:c16="http://schemas.microsoft.com/office/drawing/2014/chart" uri="{C3380CC4-5D6E-409C-BE32-E72D297353CC}">
                <c16:uniqueId val="{00000001-2758-4170-8A0B-E64BE30FF013}"/>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Quarts!$G$2:$W$2</c:f>
              <c:strCache>
                <c:ptCount val="9"/>
                <c:pt idx="0">
                  <c:v>Q1 22</c:v>
                </c:pt>
                <c:pt idx="1">
                  <c:v>Q2 22</c:v>
                </c:pt>
                <c:pt idx="2">
                  <c:v>Q3 22</c:v>
                </c:pt>
                <c:pt idx="3">
                  <c:v>Q4 22</c:v>
                </c:pt>
                <c:pt idx="4">
                  <c:v>Q1 23</c:v>
                </c:pt>
                <c:pt idx="5">
                  <c:v>Q2 23</c:v>
                </c:pt>
                <c:pt idx="6">
                  <c:v>Q3 23</c:v>
                </c:pt>
                <c:pt idx="7">
                  <c:v>Q4 23</c:v>
                </c:pt>
                <c:pt idx="8">
                  <c:v>Q1 24</c:v>
                </c:pt>
              </c:strCache>
            </c:strRef>
          </c:cat>
          <c:val>
            <c:numRef>
              <c:f>Quarts!$G$3:$W$3</c:f>
              <c:numCache>
                <c:formatCode>0</c:formatCode>
                <c:ptCount val="9"/>
                <c:pt idx="0">
                  <c:v>2104</c:v>
                </c:pt>
                <c:pt idx="1">
                  <c:v>2433</c:v>
                </c:pt>
                <c:pt idx="2">
                  <c:v>2734</c:v>
                </c:pt>
                <c:pt idx="3">
                  <c:v>3296</c:v>
                </c:pt>
                <c:pt idx="4">
                  <c:v>3574</c:v>
                </c:pt>
                <c:pt idx="5">
                  <c:v>4373</c:v>
                </c:pt>
                <c:pt idx="6">
                  <c:v>4618</c:v>
                </c:pt>
                <c:pt idx="7">
                  <c:v>5111</c:v>
                </c:pt>
                <c:pt idx="8">
                  <c:v>5310</c:v>
                </c:pt>
              </c:numCache>
            </c:numRef>
          </c:val>
          <c:extLst>
            <c:ext xmlns:c16="http://schemas.microsoft.com/office/drawing/2014/chart" uri="{C3380CC4-5D6E-409C-BE32-E72D297353CC}">
              <c16:uniqueId val="{00000000-BBE3-44D4-A82E-BDECB7448D9B}"/>
            </c:ext>
          </c:extLst>
        </c:ser>
        <c:dLbls>
          <c:showLegendKey val="0"/>
          <c:showVal val="0"/>
          <c:showCatName val="0"/>
          <c:showSerName val="0"/>
          <c:showPercent val="0"/>
          <c:showBubbleSize val="0"/>
        </c:dLbls>
        <c:gapWidth val="30"/>
        <c:overlap val="-27"/>
        <c:axId val="420231608"/>
        <c:axId val="420232592"/>
      </c:barChart>
      <c:catAx>
        <c:axId val="42023160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420232592"/>
        <c:crosses val="autoZero"/>
        <c:auto val="1"/>
        <c:lblAlgn val="ctr"/>
        <c:lblOffset val="100"/>
        <c:noMultiLvlLbl val="0"/>
      </c:catAx>
      <c:valAx>
        <c:axId val="420232592"/>
        <c:scaling>
          <c:orientation val="minMax"/>
        </c:scaling>
        <c:delete val="1"/>
        <c:axPos val="l"/>
        <c:numFmt formatCode="0" sourceLinked="1"/>
        <c:majorTickMark val="out"/>
        <c:minorTickMark val="none"/>
        <c:tickLblPos val="nextTo"/>
        <c:crossAx val="42023160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w="25400">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Quarts!$AO$99:$BA$99</c:f>
              <c:strCache>
                <c:ptCount val="13"/>
                <c:pt idx="0">
                  <c:v>Q1 21</c:v>
                </c:pt>
                <c:pt idx="1">
                  <c:v>Q2 21</c:v>
                </c:pt>
                <c:pt idx="2">
                  <c:v>Q3 21</c:v>
                </c:pt>
                <c:pt idx="3">
                  <c:v>Q4 21</c:v>
                </c:pt>
                <c:pt idx="4">
                  <c:v>Q1 22</c:v>
                </c:pt>
                <c:pt idx="5">
                  <c:v>Q2 22</c:v>
                </c:pt>
                <c:pt idx="6">
                  <c:v>Q3 22</c:v>
                </c:pt>
                <c:pt idx="7">
                  <c:v>Q4 22</c:v>
                </c:pt>
                <c:pt idx="8">
                  <c:v>Q1 23</c:v>
                </c:pt>
                <c:pt idx="9">
                  <c:v>Q2 23</c:v>
                </c:pt>
                <c:pt idx="10">
                  <c:v>Q3 23</c:v>
                </c:pt>
                <c:pt idx="11">
                  <c:v>Q4 23</c:v>
                </c:pt>
                <c:pt idx="12">
                  <c:v>Q1 24</c:v>
                </c:pt>
              </c:strCache>
            </c:strRef>
          </c:cat>
          <c:val>
            <c:numRef>
              <c:f>Quarts!$AO$100:$BA$100</c:f>
              <c:numCache>
                <c:formatCode>0%</c:formatCode>
                <c:ptCount val="13"/>
                <c:pt idx="0">
                  <c:v>1.86</c:v>
                </c:pt>
                <c:pt idx="1">
                  <c:v>1.96</c:v>
                </c:pt>
                <c:pt idx="2">
                  <c:v>1.85</c:v>
                </c:pt>
                <c:pt idx="3">
                  <c:v>1.98</c:v>
                </c:pt>
                <c:pt idx="4">
                  <c:v>1.9</c:v>
                </c:pt>
                <c:pt idx="5">
                  <c:v>1.57</c:v>
                </c:pt>
                <c:pt idx="6">
                  <c:v>1.52</c:v>
                </c:pt>
                <c:pt idx="7">
                  <c:v>1.46</c:v>
                </c:pt>
                <c:pt idx="8">
                  <c:v>1.47</c:v>
                </c:pt>
                <c:pt idx="9">
                  <c:v>1.48</c:v>
                </c:pt>
                <c:pt idx="10">
                  <c:v>1.41</c:v>
                </c:pt>
                <c:pt idx="11">
                  <c:v>1.49</c:v>
                </c:pt>
                <c:pt idx="12">
                  <c:v>1.29</c:v>
                </c:pt>
              </c:numCache>
            </c:numRef>
          </c:val>
          <c:extLst>
            <c:ext xmlns:c16="http://schemas.microsoft.com/office/drawing/2014/chart" uri="{C3380CC4-5D6E-409C-BE32-E72D297353CC}">
              <c16:uniqueId val="{00000000-9319-4AAF-AA71-E52435192453}"/>
            </c:ext>
          </c:extLst>
        </c:ser>
        <c:dLbls>
          <c:showLegendKey val="0"/>
          <c:showVal val="0"/>
          <c:showCatName val="0"/>
          <c:showSerName val="0"/>
          <c:showPercent val="0"/>
          <c:showBubbleSize val="0"/>
        </c:dLbls>
        <c:gapWidth val="30"/>
        <c:overlap val="-27"/>
        <c:axId val="1130411368"/>
        <c:axId val="1130412352"/>
      </c:barChart>
      <c:catAx>
        <c:axId val="113041136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1130412352"/>
        <c:crosses val="autoZero"/>
        <c:auto val="1"/>
        <c:lblAlgn val="ctr"/>
        <c:lblOffset val="100"/>
        <c:noMultiLvlLbl val="0"/>
      </c:catAx>
      <c:valAx>
        <c:axId val="1130412352"/>
        <c:scaling>
          <c:orientation val="minMax"/>
        </c:scaling>
        <c:delete val="1"/>
        <c:axPos val="l"/>
        <c:title>
          <c:tx>
            <c:rich>
              <a:bodyPr rot="-54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r>
                  <a:rPr lang="en-US"/>
                  <a:t>y/y</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title>
        <c:numFmt formatCode="0%" sourceLinked="1"/>
        <c:majorTickMark val="out"/>
        <c:minorTickMark val="none"/>
        <c:tickLblPos val="nextTo"/>
        <c:crossAx val="113041136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Quarts!$B$125</c:f>
              <c:strCache>
                <c:ptCount val="1"/>
                <c:pt idx="0">
                  <c:v>% margin (gross)</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Quarts!$K$2:$W$2</c:f>
              <c:strCache>
                <c:ptCount val="9"/>
                <c:pt idx="0">
                  <c:v>Q1 22</c:v>
                </c:pt>
                <c:pt idx="1">
                  <c:v>Q2 22</c:v>
                </c:pt>
                <c:pt idx="2">
                  <c:v>Q3 22</c:v>
                </c:pt>
                <c:pt idx="3">
                  <c:v>Q4 22</c:v>
                </c:pt>
                <c:pt idx="4">
                  <c:v>Q1 23</c:v>
                </c:pt>
                <c:pt idx="5">
                  <c:v>Q2 23</c:v>
                </c:pt>
                <c:pt idx="6">
                  <c:v>Q3 23</c:v>
                </c:pt>
                <c:pt idx="7">
                  <c:v>Q4 23</c:v>
                </c:pt>
                <c:pt idx="8">
                  <c:v>Q1 24</c:v>
                </c:pt>
              </c:strCache>
            </c:strRef>
          </c:cat>
          <c:val>
            <c:numRef>
              <c:f>Quarts!$K$125:$W$125</c:f>
              <c:numCache>
                <c:formatCode>0.0%</c:formatCode>
                <c:ptCount val="9"/>
                <c:pt idx="0">
                  <c:v>0.376</c:v>
                </c:pt>
                <c:pt idx="1">
                  <c:v>0.37747035573122534</c:v>
                </c:pt>
                <c:pt idx="2">
                  <c:v>0.37176050044682751</c:v>
                </c:pt>
                <c:pt idx="3">
                  <c:v>0.34121621621621617</c:v>
                </c:pt>
                <c:pt idx="4">
                  <c:v>0.33139111434814272</c:v>
                </c:pt>
                <c:pt idx="5">
                  <c:v>0.32278088144009931</c:v>
                </c:pt>
                <c:pt idx="6">
                  <c:v>0.33923123856009763</c:v>
                </c:pt>
                <c:pt idx="7">
                  <c:v>0.26170212765957446</c:v>
                </c:pt>
                <c:pt idx="8">
                  <c:v>0.19956616052060736</c:v>
                </c:pt>
              </c:numCache>
            </c:numRef>
          </c:val>
          <c:extLst>
            <c:ext xmlns:c16="http://schemas.microsoft.com/office/drawing/2014/chart" uri="{C3380CC4-5D6E-409C-BE32-E72D297353CC}">
              <c16:uniqueId val="{00000000-D639-4BDE-A371-64C98C5D6188}"/>
            </c:ext>
          </c:extLst>
        </c:ser>
        <c:dLbls>
          <c:showLegendKey val="0"/>
          <c:showVal val="0"/>
          <c:showCatName val="0"/>
          <c:showSerName val="0"/>
          <c:showPercent val="0"/>
          <c:showBubbleSize val="0"/>
        </c:dLbls>
        <c:gapWidth val="30"/>
        <c:overlap val="-27"/>
        <c:axId val="1130411368"/>
        <c:axId val="1130412352"/>
      </c:barChart>
      <c:catAx>
        <c:axId val="113041136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130412352"/>
        <c:crosses val="autoZero"/>
        <c:auto val="1"/>
        <c:lblAlgn val="ctr"/>
        <c:lblOffset val="100"/>
        <c:noMultiLvlLbl val="0"/>
      </c:catAx>
      <c:valAx>
        <c:axId val="1130412352"/>
        <c:scaling>
          <c:orientation val="minMax"/>
          <c:min val="0"/>
        </c:scaling>
        <c:delete val="1"/>
        <c:axPos val="l"/>
        <c:title>
          <c:tx>
            <c:rich>
              <a:bodyPr rot="-54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r>
                  <a:rPr lang="en-US"/>
                  <a:t>y/y</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title>
        <c:numFmt formatCode="0.0%" sourceLinked="1"/>
        <c:majorTickMark val="out"/>
        <c:minorTickMark val="none"/>
        <c:tickLblPos val="nextTo"/>
        <c:crossAx val="1130411368"/>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5400" cap="rnd">
              <a:solidFill>
                <a:srgbClr val="263238"/>
              </a:solidFill>
              <a:prstDash val="solid"/>
              <a:round/>
            </a:ln>
            <a:effectLst/>
          </c:spPr>
          <c:marker>
            <c:symbol val="none"/>
          </c:marker>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Quarts!$AO$2:$BA$2</c:f>
              <c:strCache>
                <c:ptCount val="13"/>
                <c:pt idx="0">
                  <c:v>Q1 21</c:v>
                </c:pt>
                <c:pt idx="1">
                  <c:v>Q2 21</c:v>
                </c:pt>
                <c:pt idx="2">
                  <c:v>Q3 21</c:v>
                </c:pt>
                <c:pt idx="3">
                  <c:v>Q4 21</c:v>
                </c:pt>
                <c:pt idx="4">
                  <c:v>Q1 22</c:v>
                </c:pt>
                <c:pt idx="5">
                  <c:v>Q2 22</c:v>
                </c:pt>
                <c:pt idx="6">
                  <c:v>Q3 22</c:v>
                </c:pt>
                <c:pt idx="7">
                  <c:v>Q4 22</c:v>
                </c:pt>
                <c:pt idx="8">
                  <c:v>Q1 23</c:v>
                </c:pt>
                <c:pt idx="9">
                  <c:v>Q2 23</c:v>
                </c:pt>
                <c:pt idx="10">
                  <c:v>Q3 23</c:v>
                </c:pt>
                <c:pt idx="11">
                  <c:v>Q4 23</c:v>
                </c:pt>
                <c:pt idx="12">
                  <c:v>Q1 24</c:v>
                </c:pt>
              </c:strCache>
            </c:strRef>
          </c:cat>
          <c:val>
            <c:numRef>
              <c:f>Quarts!$AO$3:$BA$3</c:f>
              <c:numCache>
                <c:formatCode>0%</c:formatCode>
                <c:ptCount val="13"/>
                <c:pt idx="0">
                  <c:v>1.3851107676455436</c:v>
                </c:pt>
                <c:pt idx="1">
                  <c:v>3.1839080459770113</c:v>
                </c:pt>
                <c:pt idx="2">
                  <c:v>2.1678321678321679</c:v>
                </c:pt>
                <c:pt idx="3">
                  <c:v>1.4556761047896272</c:v>
                </c:pt>
                <c:pt idx="4">
                  <c:v>1.2723836267415489</c:v>
                </c:pt>
                <c:pt idx="5">
                  <c:v>0.67101648351648358</c:v>
                </c:pt>
                <c:pt idx="6">
                  <c:v>0.50883002207505523</c:v>
                </c:pt>
                <c:pt idx="7">
                  <c:v>0.77586206896551735</c:v>
                </c:pt>
                <c:pt idx="8">
                  <c:v>0.69866920152091261</c:v>
                </c:pt>
                <c:pt idx="9">
                  <c:v>0.79736950267159878</c:v>
                </c:pt>
                <c:pt idx="10">
                  <c:v>0.68910021945866862</c:v>
                </c:pt>
                <c:pt idx="11">
                  <c:v>0.55066747572815533</c:v>
                </c:pt>
                <c:pt idx="12">
                  <c:v>0.4857302742025742</c:v>
                </c:pt>
              </c:numCache>
            </c:numRef>
          </c:val>
          <c:smooth val="0"/>
          <c:extLst>
            <c:ext xmlns:c16="http://schemas.microsoft.com/office/drawing/2014/chart" uri="{C3380CC4-5D6E-409C-BE32-E72D297353CC}">
              <c16:uniqueId val="{00000000-A588-4A05-BB5C-69EEF6FE6D73}"/>
            </c:ext>
          </c:extLst>
        </c:ser>
        <c:dLbls>
          <c:showLegendKey val="0"/>
          <c:showVal val="0"/>
          <c:showCatName val="0"/>
          <c:showSerName val="0"/>
          <c:showPercent val="0"/>
          <c:showBubbleSize val="0"/>
        </c:dLbls>
        <c:smooth val="0"/>
        <c:axId val="1853254528"/>
        <c:axId val="1853241216"/>
      </c:lineChart>
      <c:catAx>
        <c:axId val="185325452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1853241216"/>
        <c:crosses val="autoZero"/>
        <c:auto val="1"/>
        <c:lblAlgn val="ctr"/>
        <c:lblOffset val="100"/>
        <c:noMultiLvlLbl val="0"/>
      </c:catAx>
      <c:valAx>
        <c:axId val="1853241216"/>
        <c:scaling>
          <c:orientation val="minMax"/>
        </c:scaling>
        <c:delete val="1"/>
        <c:axPos val="l"/>
        <c:numFmt formatCode="0%" sourceLinked="1"/>
        <c:majorTickMark val="out"/>
        <c:minorTickMark val="none"/>
        <c:tickLblPos val="nextTo"/>
        <c:crossAx val="185325452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w="25400">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Quarts!$K$2:$W$2</c:f>
              <c:strCache>
                <c:ptCount val="9"/>
                <c:pt idx="0">
                  <c:v>Q1 22</c:v>
                </c:pt>
                <c:pt idx="1">
                  <c:v>Q2 22</c:v>
                </c:pt>
                <c:pt idx="2">
                  <c:v>Q3 22</c:v>
                </c:pt>
                <c:pt idx="3">
                  <c:v>Q4 22</c:v>
                </c:pt>
                <c:pt idx="4">
                  <c:v>Q1 23</c:v>
                </c:pt>
                <c:pt idx="5">
                  <c:v>Q2 23</c:v>
                </c:pt>
                <c:pt idx="6">
                  <c:v>Q3 23</c:v>
                </c:pt>
                <c:pt idx="7">
                  <c:v>Q4 23</c:v>
                </c:pt>
                <c:pt idx="8">
                  <c:v>Q1 24</c:v>
                </c:pt>
              </c:strCache>
            </c:strRef>
          </c:cat>
          <c:val>
            <c:numRef>
              <c:f>Quarts!$K$46:$W$46</c:f>
              <c:numCache>
                <c:formatCode>0.00%</c:formatCode>
                <c:ptCount val="9"/>
                <c:pt idx="0">
                  <c:v>4.1587452471482891E-2</c:v>
                </c:pt>
                <c:pt idx="1">
                  <c:v>4.1594739005343197E-2</c:v>
                </c:pt>
                <c:pt idx="2">
                  <c:v>4.0929041697147041E-2</c:v>
                </c:pt>
                <c:pt idx="3">
                  <c:v>3.5922330097087382E-2</c:v>
                </c:pt>
                <c:pt idx="4">
                  <c:v>3.841634023503078E-2</c:v>
                </c:pt>
                <c:pt idx="5">
                  <c:v>3.683969814772467E-2</c:v>
                </c:pt>
                <c:pt idx="6">
                  <c:v>3.5491554785621479E-2</c:v>
                </c:pt>
                <c:pt idx="7">
                  <c:v>3.6783408334963803E-2</c:v>
                </c:pt>
                <c:pt idx="8">
                  <c:v>3.4726930320150659E-2</c:v>
                </c:pt>
              </c:numCache>
            </c:numRef>
          </c:val>
          <c:extLst>
            <c:ext xmlns:c16="http://schemas.microsoft.com/office/drawing/2014/chart" uri="{C3380CC4-5D6E-409C-BE32-E72D297353CC}">
              <c16:uniqueId val="{00000000-3383-4904-927D-E15BF932D12F}"/>
            </c:ext>
          </c:extLst>
        </c:ser>
        <c:dLbls>
          <c:showLegendKey val="0"/>
          <c:showVal val="0"/>
          <c:showCatName val="0"/>
          <c:showSerName val="0"/>
          <c:showPercent val="0"/>
          <c:showBubbleSize val="0"/>
        </c:dLbls>
        <c:gapWidth val="30"/>
        <c:overlap val="-27"/>
        <c:axId val="631750432"/>
        <c:axId val="631751680"/>
      </c:barChart>
      <c:catAx>
        <c:axId val="63175043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631751680"/>
        <c:crosses val="autoZero"/>
        <c:auto val="1"/>
        <c:lblAlgn val="ctr"/>
        <c:lblOffset val="100"/>
        <c:noMultiLvlLbl val="0"/>
      </c:catAx>
      <c:valAx>
        <c:axId val="631751680"/>
        <c:scaling>
          <c:orientation val="minMax"/>
        </c:scaling>
        <c:delete val="1"/>
        <c:axPos val="l"/>
        <c:numFmt formatCode="0.00%" sourceLinked="1"/>
        <c:majorTickMark val="out"/>
        <c:minorTickMark val="none"/>
        <c:tickLblPos val="nextTo"/>
        <c:crossAx val="63175043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w="25400">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Quarts!$G$2:$R$2</c:f>
              <c:strCache>
                <c:ptCount val="4"/>
                <c:pt idx="0">
                  <c:v>Q1 22</c:v>
                </c:pt>
                <c:pt idx="1">
                  <c:v>Q2 22</c:v>
                </c:pt>
                <c:pt idx="2">
                  <c:v>Q3 22</c:v>
                </c:pt>
                <c:pt idx="3">
                  <c:v>Q4 22</c:v>
                </c:pt>
              </c:strCache>
            </c:strRef>
          </c:cat>
          <c:val>
            <c:numRef>
              <c:f>Quarts!$G$65:$R$65</c:f>
              <c:numCache>
                <c:formatCode>0.00%</c:formatCode>
                <c:ptCount val="4"/>
                <c:pt idx="0">
                  <c:v>2.1910646387832699E-2</c:v>
                </c:pt>
                <c:pt idx="1">
                  <c:v>2.1413892314015619E-2</c:v>
                </c:pt>
                <c:pt idx="2">
                  <c:v>2.070958302852963E-2</c:v>
                </c:pt>
                <c:pt idx="3">
                  <c:v>1.7575546116504852E-2</c:v>
                </c:pt>
              </c:numCache>
            </c:numRef>
          </c:val>
          <c:extLst>
            <c:ext xmlns:c16="http://schemas.microsoft.com/office/drawing/2014/chart" uri="{C3380CC4-5D6E-409C-BE32-E72D297353CC}">
              <c16:uniqueId val="{00000000-413D-41D1-A07C-0CFA6004523E}"/>
            </c:ext>
          </c:extLst>
        </c:ser>
        <c:dLbls>
          <c:showLegendKey val="0"/>
          <c:showVal val="0"/>
          <c:showCatName val="0"/>
          <c:showSerName val="0"/>
          <c:showPercent val="0"/>
          <c:showBubbleSize val="0"/>
        </c:dLbls>
        <c:gapWidth val="30"/>
        <c:overlap val="-27"/>
        <c:axId val="631750432"/>
        <c:axId val="631751680"/>
      </c:barChart>
      <c:catAx>
        <c:axId val="63175043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631751680"/>
        <c:crosses val="autoZero"/>
        <c:auto val="1"/>
        <c:lblAlgn val="ctr"/>
        <c:lblOffset val="100"/>
        <c:noMultiLvlLbl val="0"/>
      </c:catAx>
      <c:valAx>
        <c:axId val="631751680"/>
        <c:scaling>
          <c:orientation val="minMax"/>
        </c:scaling>
        <c:delete val="1"/>
        <c:axPos val="l"/>
        <c:numFmt formatCode="0.00%" sourceLinked="1"/>
        <c:majorTickMark val="out"/>
        <c:minorTickMark val="none"/>
        <c:tickLblPos val="nextTo"/>
        <c:crossAx val="63175043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Y/Y revenue expansion from &gt;12m cohorts</c:v>
          </c:tx>
          <c:spPr>
            <a:solidFill>
              <a:srgbClr val="263238"/>
            </a:solidFill>
            <a:ln w="25400">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Roboto" panose="02000000000000000000" pitchFamily="2" charset="0"/>
                    <a:ea typeface="Roboto" panose="02000000000000000000" pitchFamily="2" charset="0"/>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Quarts!$K$2:$W$2</c:f>
              <c:strCache>
                <c:ptCount val="9"/>
                <c:pt idx="0">
                  <c:v>Q1 22</c:v>
                </c:pt>
                <c:pt idx="1">
                  <c:v>Q2 22</c:v>
                </c:pt>
                <c:pt idx="2">
                  <c:v>Q3 22</c:v>
                </c:pt>
                <c:pt idx="3">
                  <c:v>Q4 22</c:v>
                </c:pt>
                <c:pt idx="4">
                  <c:v>Q1 23</c:v>
                </c:pt>
                <c:pt idx="5">
                  <c:v>Q2 23</c:v>
                </c:pt>
                <c:pt idx="6">
                  <c:v>Q3 23</c:v>
                </c:pt>
                <c:pt idx="7">
                  <c:v>Q4 23</c:v>
                </c:pt>
                <c:pt idx="8">
                  <c:v>Q1 24</c:v>
                </c:pt>
              </c:strCache>
            </c:strRef>
          </c:cat>
          <c:val>
            <c:numRef>
              <c:f>Quarts!$K$50:$W$50</c:f>
              <c:numCache>
                <c:formatCode>0.0</c:formatCode>
                <c:ptCount val="9"/>
                <c:pt idx="0">
                  <c:v>36.230399999999996</c:v>
                </c:pt>
                <c:pt idx="1">
                  <c:v>33.630000000000003</c:v>
                </c:pt>
                <c:pt idx="2">
                  <c:v>35.671999999999997</c:v>
                </c:pt>
                <c:pt idx="3">
                  <c:v>35.097999999999999</c:v>
                </c:pt>
                <c:pt idx="4">
                  <c:v>41.125</c:v>
                </c:pt>
                <c:pt idx="5">
                  <c:v>48.576000000000001</c:v>
                </c:pt>
                <c:pt idx="6">
                  <c:v>45.878999999999991</c:v>
                </c:pt>
                <c:pt idx="7">
                  <c:v>58.015999999999998</c:v>
                </c:pt>
                <c:pt idx="8">
                  <c:v>39.817000000000007</c:v>
                </c:pt>
              </c:numCache>
            </c:numRef>
          </c:val>
          <c:extLst>
            <c:ext xmlns:c16="http://schemas.microsoft.com/office/drawing/2014/chart" uri="{C3380CC4-5D6E-409C-BE32-E72D297353CC}">
              <c16:uniqueId val="{00000000-C22D-4097-981C-DFD5B21E9781}"/>
            </c:ext>
          </c:extLst>
        </c:ser>
        <c:ser>
          <c:idx val="1"/>
          <c:order val="1"/>
          <c:tx>
            <c:v>Y/Y revenue expansion from new cohorts</c:v>
          </c:tx>
          <c:spPr>
            <a:solidFill>
              <a:srgbClr val="799098"/>
            </a:solidFill>
            <a:ln w="25400">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Roboto" panose="02000000000000000000" pitchFamily="2" charset="0"/>
                    <a:ea typeface="Roboto" panose="02000000000000000000" pitchFamily="2" charset="0"/>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Quarts!$K$2:$W$2</c:f>
              <c:strCache>
                <c:ptCount val="9"/>
                <c:pt idx="0">
                  <c:v>Q1 22</c:v>
                </c:pt>
                <c:pt idx="1">
                  <c:v>Q2 22</c:v>
                </c:pt>
                <c:pt idx="2">
                  <c:v>Q3 22</c:v>
                </c:pt>
                <c:pt idx="3">
                  <c:v>Q4 22</c:v>
                </c:pt>
                <c:pt idx="4">
                  <c:v>Q1 23</c:v>
                </c:pt>
                <c:pt idx="5">
                  <c:v>Q2 23</c:v>
                </c:pt>
                <c:pt idx="6">
                  <c:v>Q3 23</c:v>
                </c:pt>
                <c:pt idx="7">
                  <c:v>Q4 23</c:v>
                </c:pt>
                <c:pt idx="8">
                  <c:v>Q1 24</c:v>
                </c:pt>
              </c:strCache>
            </c:strRef>
          </c:cat>
          <c:val>
            <c:numRef>
              <c:f>Quarts!$K$51:$W$51</c:f>
              <c:numCache>
                <c:formatCode>0.0</c:formatCode>
                <c:ptCount val="9"/>
                <c:pt idx="0">
                  <c:v>11.013600000000004</c:v>
                </c:pt>
                <c:pt idx="1">
                  <c:v>8.57</c:v>
                </c:pt>
                <c:pt idx="2">
                  <c:v>7.6280000000000143</c:v>
                </c:pt>
                <c:pt idx="3">
                  <c:v>7.0020000000000095</c:v>
                </c:pt>
                <c:pt idx="4">
                  <c:v>8.6750000000000114</c:v>
                </c:pt>
                <c:pt idx="5">
                  <c:v>11.323999999999991</c:v>
                </c:pt>
                <c:pt idx="6">
                  <c:v>6.1210000000000093</c:v>
                </c:pt>
                <c:pt idx="7">
                  <c:v>11.583999999999996</c:v>
                </c:pt>
                <c:pt idx="8">
                  <c:v>7.282999999999987</c:v>
                </c:pt>
              </c:numCache>
            </c:numRef>
          </c:val>
          <c:extLst>
            <c:ext xmlns:c16="http://schemas.microsoft.com/office/drawing/2014/chart" uri="{C3380CC4-5D6E-409C-BE32-E72D297353CC}">
              <c16:uniqueId val="{00000001-C22D-4097-981C-DFD5B21E9781}"/>
            </c:ext>
          </c:extLst>
        </c:ser>
        <c:dLbls>
          <c:showLegendKey val="0"/>
          <c:showVal val="0"/>
          <c:showCatName val="0"/>
          <c:showSerName val="0"/>
          <c:showPercent val="0"/>
          <c:showBubbleSize val="0"/>
        </c:dLbls>
        <c:gapWidth val="30"/>
        <c:overlap val="100"/>
        <c:axId val="1568734192"/>
        <c:axId val="1568722544"/>
      </c:barChart>
      <c:catAx>
        <c:axId val="156873419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1568722544"/>
        <c:crosses val="autoZero"/>
        <c:auto val="1"/>
        <c:lblAlgn val="ctr"/>
        <c:lblOffset val="100"/>
        <c:noMultiLvlLbl val="0"/>
      </c:catAx>
      <c:valAx>
        <c:axId val="1568722544"/>
        <c:scaling>
          <c:orientation val="minMax"/>
        </c:scaling>
        <c:delete val="1"/>
        <c:axPos val="l"/>
        <c:numFmt formatCode="0.0" sourceLinked="1"/>
        <c:majorTickMark val="out"/>
        <c:minorTickMark val="none"/>
        <c:tickLblPos val="nextTo"/>
        <c:crossAx val="1568734192"/>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Quarts!$B$125</c:f>
              <c:strCache>
                <c:ptCount val="1"/>
                <c:pt idx="0">
                  <c:v>% margin (gross)</c:v>
                </c:pt>
              </c:strCache>
            </c:strRef>
          </c:tx>
          <c:spPr>
            <a:solidFill>
              <a:srgbClr val="263238"/>
            </a:solidFill>
            <a:ln w="25400">
              <a:noFill/>
            </a:ln>
            <a:effectLst/>
          </c:spPr>
          <c:invertIfNegative val="0"/>
          <c:dLbls>
            <c:numFmt formatCode="0.0%" sourceLinked="0"/>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Quarts!$K$2:$W$2</c:f>
              <c:strCache>
                <c:ptCount val="9"/>
                <c:pt idx="0">
                  <c:v>Q1 22</c:v>
                </c:pt>
                <c:pt idx="1">
                  <c:v>Q2 22</c:v>
                </c:pt>
                <c:pt idx="2">
                  <c:v>Q3 22</c:v>
                </c:pt>
                <c:pt idx="3">
                  <c:v>Q4 22</c:v>
                </c:pt>
                <c:pt idx="4">
                  <c:v>Q1 23</c:v>
                </c:pt>
                <c:pt idx="5">
                  <c:v>Q2 23</c:v>
                </c:pt>
                <c:pt idx="6">
                  <c:v>Q3 23</c:v>
                </c:pt>
                <c:pt idx="7">
                  <c:v>Q4 23</c:v>
                </c:pt>
                <c:pt idx="8">
                  <c:v>Q1 24</c:v>
                </c:pt>
              </c:strCache>
            </c:strRef>
          </c:cat>
          <c:val>
            <c:numRef>
              <c:f>Quarts!$K$148:$W$148</c:f>
              <c:numCache>
                <c:formatCode>0%</c:formatCode>
                <c:ptCount val="9"/>
                <c:pt idx="0">
                  <c:v>0.30127999999999999</c:v>
                </c:pt>
                <c:pt idx="1">
                  <c:v>0.30367588932806328</c:v>
                </c:pt>
                <c:pt idx="2">
                  <c:v>0.29488829311885617</c:v>
                </c:pt>
                <c:pt idx="3">
                  <c:v>0.22745777027027025</c:v>
                </c:pt>
                <c:pt idx="4">
                  <c:v>0.26800436999271665</c:v>
                </c:pt>
                <c:pt idx="5">
                  <c:v>0.27901924270639356</c:v>
                </c:pt>
                <c:pt idx="6">
                  <c:v>0.29248322147651012</c:v>
                </c:pt>
                <c:pt idx="7">
                  <c:v>0.21010638297872336</c:v>
                </c:pt>
                <c:pt idx="8">
                  <c:v>6.4723427331887212E-2</c:v>
                </c:pt>
              </c:numCache>
            </c:numRef>
          </c:val>
          <c:extLst>
            <c:ext xmlns:c16="http://schemas.microsoft.com/office/drawing/2014/chart" uri="{C3380CC4-5D6E-409C-BE32-E72D297353CC}">
              <c16:uniqueId val="{00000000-CB89-446D-A50C-34F3468F0C80}"/>
            </c:ext>
          </c:extLst>
        </c:ser>
        <c:dLbls>
          <c:showLegendKey val="0"/>
          <c:showVal val="0"/>
          <c:showCatName val="0"/>
          <c:showSerName val="0"/>
          <c:showPercent val="0"/>
          <c:showBubbleSize val="0"/>
        </c:dLbls>
        <c:gapWidth val="30"/>
        <c:overlap val="-27"/>
        <c:axId val="1130411368"/>
        <c:axId val="1130412352"/>
      </c:barChart>
      <c:catAx>
        <c:axId val="113041136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1130412352"/>
        <c:crosses val="autoZero"/>
        <c:auto val="1"/>
        <c:lblAlgn val="ctr"/>
        <c:lblOffset val="100"/>
        <c:noMultiLvlLbl val="0"/>
      </c:catAx>
      <c:valAx>
        <c:axId val="1130412352"/>
        <c:scaling>
          <c:orientation val="minMax"/>
          <c:min val="0"/>
        </c:scaling>
        <c:delete val="1"/>
        <c:axPos val="l"/>
        <c:numFmt formatCode="0%" sourceLinked="1"/>
        <c:majorTickMark val="out"/>
        <c:minorTickMark val="none"/>
        <c:tickLblPos val="nextTo"/>
        <c:crossAx val="113041136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595959"/>
                    </a:solidFill>
                    <a:latin typeface="Roboto" panose="02000000000000000000" pitchFamily="2" charset="0"/>
                    <a:ea typeface="Roboto" panose="02000000000000000000" pitchFamily="2" charset="0"/>
                    <a:cs typeface="Roboto" panose="02000000000000000000" pitchFamily="2"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Quarts!$K$2:$W$2</c:f>
              <c:strCache>
                <c:ptCount val="9"/>
                <c:pt idx="0">
                  <c:v>Q1 22</c:v>
                </c:pt>
                <c:pt idx="1">
                  <c:v>Q2 22</c:v>
                </c:pt>
                <c:pt idx="2">
                  <c:v>Q3 22</c:v>
                </c:pt>
                <c:pt idx="3">
                  <c:v>Q4 22</c:v>
                </c:pt>
                <c:pt idx="4">
                  <c:v>Q1 23</c:v>
                </c:pt>
                <c:pt idx="5">
                  <c:v>Q2 23</c:v>
                </c:pt>
                <c:pt idx="6">
                  <c:v>Q3 23</c:v>
                </c:pt>
                <c:pt idx="7">
                  <c:v>Q4 23</c:v>
                </c:pt>
                <c:pt idx="8">
                  <c:v>Q1 24</c:v>
                </c:pt>
              </c:strCache>
            </c:strRef>
          </c:cat>
          <c:val>
            <c:numRef>
              <c:f>Quarts!$K$95:$W$95</c:f>
              <c:numCache>
                <c:formatCode>0.00%</c:formatCode>
                <c:ptCount val="9"/>
                <c:pt idx="0">
                  <c:v>2.0722433460076045E-2</c:v>
                </c:pt>
                <c:pt idx="1">
                  <c:v>2.0386354295108919E-2</c:v>
                </c:pt>
                <c:pt idx="2">
                  <c:v>1.9704462326261888E-2</c:v>
                </c:pt>
                <c:pt idx="3">
                  <c:v>1.6717233009708739E-2</c:v>
                </c:pt>
                <c:pt idx="4">
                  <c:v>1.7291550083939566E-2</c:v>
                </c:pt>
                <c:pt idx="5">
                  <c:v>1.6167390807226165E-2</c:v>
                </c:pt>
                <c:pt idx="6">
                  <c:v>1.613252490255522E-2</c:v>
                </c:pt>
                <c:pt idx="7">
                  <c:v>1.3676384269223246E-2</c:v>
                </c:pt>
                <c:pt idx="8">
                  <c:v>1.1864406779661017E-2</c:v>
                </c:pt>
              </c:numCache>
            </c:numRef>
          </c:val>
          <c:extLst>
            <c:ext xmlns:c16="http://schemas.microsoft.com/office/drawing/2014/chart" uri="{C3380CC4-5D6E-409C-BE32-E72D297353CC}">
              <c16:uniqueId val="{00000000-C402-48B6-852B-189AF75EC6D7}"/>
            </c:ext>
          </c:extLst>
        </c:ser>
        <c:dLbls>
          <c:showLegendKey val="0"/>
          <c:showVal val="0"/>
          <c:showCatName val="0"/>
          <c:showSerName val="0"/>
          <c:showPercent val="0"/>
          <c:showBubbleSize val="0"/>
        </c:dLbls>
        <c:gapWidth val="30"/>
        <c:overlap val="-27"/>
        <c:axId val="631750432"/>
        <c:axId val="631751680"/>
      </c:barChart>
      <c:catAx>
        <c:axId val="63175043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631751680"/>
        <c:crosses val="autoZero"/>
        <c:auto val="1"/>
        <c:lblAlgn val="ctr"/>
        <c:lblOffset val="100"/>
        <c:noMultiLvlLbl val="0"/>
      </c:catAx>
      <c:valAx>
        <c:axId val="631751680"/>
        <c:scaling>
          <c:orientation val="minMax"/>
        </c:scaling>
        <c:delete val="1"/>
        <c:axPos val="l"/>
        <c:numFmt formatCode="0.00%" sourceLinked="1"/>
        <c:majorTickMark val="out"/>
        <c:minorTickMark val="none"/>
        <c:tickLblPos val="nextTo"/>
        <c:crossAx val="63175043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dPt>
            <c:idx val="1"/>
            <c:invertIfNegative val="0"/>
            <c:bubble3D val="0"/>
            <c:spPr>
              <a:pattFill prst="pct10">
                <a:fgClr>
                  <a:srgbClr val="000080"/>
                </a:fgClr>
                <a:bgClr>
                  <a:schemeClr val="bg1"/>
                </a:bgClr>
              </a:pattFill>
              <a:ln w="25400">
                <a:solidFill>
                  <a:schemeClr val="bg1">
                    <a:lumMod val="50000"/>
                  </a:schemeClr>
                </a:solidFill>
              </a:ln>
              <a:effectLst/>
            </c:spPr>
            <c:extLst>
              <c:ext xmlns:c16="http://schemas.microsoft.com/office/drawing/2014/chart" uri="{C3380CC4-5D6E-409C-BE32-E72D297353CC}">
                <c16:uniqueId val="{00000002-F9C9-47A5-845F-00922E312CF3}"/>
              </c:ext>
            </c:extLst>
          </c:dPt>
          <c:cat>
            <c:strRef>
              <c:f>Analysis!$B$55:$B$56</c:f>
              <c:strCache>
                <c:ptCount val="2"/>
                <c:pt idx="0">
                  <c:v>Pay-in</c:v>
                </c:pt>
                <c:pt idx="1">
                  <c:v>Pay-out</c:v>
                </c:pt>
              </c:strCache>
            </c:strRef>
          </c:cat>
          <c:val>
            <c:numRef>
              <c:f>Analysis!$C$55:$C$56</c:f>
              <c:numCache>
                <c:formatCode>0%</c:formatCode>
                <c:ptCount val="2"/>
                <c:pt idx="0">
                  <c:v>0.27</c:v>
                </c:pt>
                <c:pt idx="1">
                  <c:v>0.35</c:v>
                </c:pt>
              </c:numCache>
            </c:numRef>
          </c:val>
          <c:extLst>
            <c:ext xmlns:c16="http://schemas.microsoft.com/office/drawing/2014/chart" uri="{C3380CC4-5D6E-409C-BE32-E72D297353CC}">
              <c16:uniqueId val="{00000000-F9C9-47A5-845F-00922E312CF3}"/>
            </c:ext>
          </c:extLst>
        </c:ser>
        <c:dLbls>
          <c:showLegendKey val="0"/>
          <c:showVal val="0"/>
          <c:showCatName val="0"/>
          <c:showSerName val="0"/>
          <c:showPercent val="0"/>
          <c:showBubbleSize val="0"/>
        </c:dLbls>
        <c:gapWidth val="219"/>
        <c:overlap val="-27"/>
        <c:axId val="1037444920"/>
        <c:axId val="1037441640"/>
      </c:barChart>
      <c:catAx>
        <c:axId val="103744492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037441640"/>
        <c:crosses val="autoZero"/>
        <c:auto val="1"/>
        <c:lblAlgn val="ctr"/>
        <c:lblOffset val="100"/>
        <c:noMultiLvlLbl val="0"/>
      </c:catAx>
      <c:valAx>
        <c:axId val="1037441640"/>
        <c:scaling>
          <c:orientation val="minMax"/>
        </c:scaling>
        <c:delete val="0"/>
        <c:axPos val="l"/>
        <c:majorGridlines>
          <c:spPr>
            <a:ln w="3175" cap="flat" cmpd="sng" algn="ctr">
              <a:solidFill>
                <a:srgbClr val="C0C0C0"/>
              </a:solidFill>
              <a:prstDash val="solid"/>
              <a:round/>
            </a:ln>
            <a:effectLst/>
          </c:spPr>
        </c:majorGridlines>
        <c:numFmt formatCode="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1037444920"/>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18205728258537"/>
          <c:y val="7.8318387284922714E-2"/>
          <c:w val="0.56052960692623244"/>
          <c:h val="0.72951297754447364"/>
        </c:manualLayout>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Snaps!$M$55:$M$60</c:f>
              <c:strCache>
                <c:ptCount val="6"/>
                <c:pt idx="0">
                  <c:v>Brazil</c:v>
                </c:pt>
                <c:pt idx="1">
                  <c:v>Argentina</c:v>
                </c:pt>
                <c:pt idx="2">
                  <c:v>Mexico</c:v>
                </c:pt>
                <c:pt idx="3">
                  <c:v>Chile</c:v>
                </c:pt>
                <c:pt idx="4">
                  <c:v>Other LatAm</c:v>
                </c:pt>
                <c:pt idx="5">
                  <c:v>Asia/Africa</c:v>
                </c:pt>
              </c:strCache>
            </c:strRef>
          </c:cat>
          <c:val>
            <c:numRef>
              <c:f>Snaps!$N$55:$N$60</c:f>
            </c:numRef>
          </c:val>
          <c:extLst>
            <c:ext xmlns:c16="http://schemas.microsoft.com/office/drawing/2014/chart" uri="{C3380CC4-5D6E-409C-BE32-E72D297353CC}">
              <c16:uniqueId val="{00000000-FE0A-4485-AA12-739398CDE0F9}"/>
            </c:ext>
          </c:extLst>
        </c:ser>
        <c:dLbls>
          <c:showLegendKey val="0"/>
          <c:showVal val="0"/>
          <c:showCatName val="0"/>
          <c:showSerName val="0"/>
          <c:showPercent val="0"/>
          <c:showBubbleSize val="0"/>
          <c:showLeaderLines val="1"/>
        </c:dLbls>
        <c:firstSliceAng val="0"/>
      </c:pieChart>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Snaps!$M$69:$M$74</c:f>
              <c:strCache>
                <c:ptCount val="6"/>
                <c:pt idx="0">
                  <c:v>Asia/Africa</c:v>
                </c:pt>
                <c:pt idx="1">
                  <c:v>Mexico</c:v>
                </c:pt>
                <c:pt idx="2">
                  <c:v>Brazil</c:v>
                </c:pt>
                <c:pt idx="3">
                  <c:v>Chile</c:v>
                </c:pt>
                <c:pt idx="4">
                  <c:v>Other LatAm</c:v>
                </c:pt>
                <c:pt idx="5">
                  <c:v>Argentina</c:v>
                </c:pt>
              </c:strCache>
            </c:strRef>
          </c:cat>
          <c:val>
            <c:numRef>
              <c:f>Snaps!$N$69:$N$74</c:f>
            </c:numRef>
          </c:val>
          <c:extLst>
            <c:ext xmlns:c16="http://schemas.microsoft.com/office/drawing/2014/chart" uri="{C3380CC4-5D6E-409C-BE32-E72D297353CC}">
              <c16:uniqueId val="{00000000-C6BE-4E2E-8B9D-1B0B79376760}"/>
            </c:ext>
          </c:extLst>
        </c:ser>
        <c:dLbls>
          <c:showLegendKey val="0"/>
          <c:showVal val="0"/>
          <c:showCatName val="0"/>
          <c:showSerName val="0"/>
          <c:showPercent val="0"/>
          <c:showBubbleSize val="0"/>
        </c:dLbls>
        <c:gapWidth val="30"/>
        <c:overlap val="-27"/>
        <c:axId val="654055168"/>
        <c:axId val="739141616"/>
      </c:barChart>
      <c:catAx>
        <c:axId val="654055168"/>
        <c:scaling>
          <c:orientation val="minMax"/>
        </c:scaling>
        <c:delete val="0"/>
        <c:axPos val="b"/>
        <c:numFmt formatCode="General" sourceLinked="1"/>
        <c:majorTickMark val="out"/>
        <c:minorTickMark val="none"/>
        <c:tickLblPos val="low"/>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739141616"/>
        <c:crosses val="autoZero"/>
        <c:auto val="1"/>
        <c:lblAlgn val="ctr"/>
        <c:lblOffset val="100"/>
        <c:noMultiLvlLbl val="0"/>
      </c:catAx>
      <c:valAx>
        <c:axId val="739141616"/>
        <c:scaling>
          <c:orientation val="minMax"/>
        </c:scaling>
        <c:delete val="1"/>
        <c:axPos val="l"/>
        <c:numFmt formatCode="0" sourceLinked="1"/>
        <c:majorTickMark val="out"/>
        <c:minorTickMark val="none"/>
        <c:tickLblPos val="nextTo"/>
        <c:crossAx val="65405516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Snaps!$M$84</c:f>
              <c:strCache>
                <c:ptCount val="1"/>
                <c:pt idx="0">
                  <c:v>Pay Ins</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Snaps!$N$83:$W$83</c:f>
              <c:strCache>
                <c:ptCount val="9"/>
                <c:pt idx="0">
                  <c:v>Q1 22</c:v>
                </c:pt>
                <c:pt idx="1">
                  <c:v>Q2 22</c:v>
                </c:pt>
                <c:pt idx="2">
                  <c:v>Q3 22</c:v>
                </c:pt>
                <c:pt idx="3">
                  <c:v>Q4 22</c:v>
                </c:pt>
                <c:pt idx="4">
                  <c:v>Q1 23</c:v>
                </c:pt>
                <c:pt idx="5">
                  <c:v>Q2 23</c:v>
                </c:pt>
                <c:pt idx="6">
                  <c:v>Q3 23</c:v>
                </c:pt>
                <c:pt idx="7">
                  <c:v>Q4 23</c:v>
                </c:pt>
                <c:pt idx="8">
                  <c:v>Q1 24</c:v>
                </c:pt>
              </c:strCache>
            </c:strRef>
          </c:cat>
          <c:val>
            <c:numRef>
              <c:f>Snaps!$N$84:$W$84</c:f>
              <c:numCache>
                <c:formatCode>0%</c:formatCode>
                <c:ptCount val="9"/>
                <c:pt idx="0">
                  <c:v>0.75</c:v>
                </c:pt>
                <c:pt idx="1">
                  <c:v>0.75</c:v>
                </c:pt>
                <c:pt idx="2">
                  <c:v>0.75128017556693494</c:v>
                </c:pt>
                <c:pt idx="3">
                  <c:v>0.71116504854368934</c:v>
                </c:pt>
                <c:pt idx="4">
                  <c:v>0.70033575825405703</c:v>
                </c:pt>
                <c:pt idx="5">
                  <c:v>0.72947633203750284</c:v>
                </c:pt>
                <c:pt idx="6">
                  <c:v>0.74252923343438715</c:v>
                </c:pt>
                <c:pt idx="7">
                  <c:v>0.72412443748777144</c:v>
                </c:pt>
                <c:pt idx="8">
                  <c:v>0.68870056497175136</c:v>
                </c:pt>
              </c:numCache>
            </c:numRef>
          </c:val>
          <c:extLst>
            <c:ext xmlns:c16="http://schemas.microsoft.com/office/drawing/2014/chart" uri="{C3380CC4-5D6E-409C-BE32-E72D297353CC}">
              <c16:uniqueId val="{00000000-6A58-43B3-9F8B-0C3A4E6B4270}"/>
            </c:ext>
          </c:extLst>
        </c:ser>
        <c:ser>
          <c:idx val="1"/>
          <c:order val="1"/>
          <c:tx>
            <c:strRef>
              <c:f>Snaps!$M$85</c:f>
              <c:strCache>
                <c:ptCount val="1"/>
                <c:pt idx="0">
                  <c:v>Pay Outs</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Snaps!$N$83:$W$83</c:f>
              <c:strCache>
                <c:ptCount val="9"/>
                <c:pt idx="0">
                  <c:v>Q1 22</c:v>
                </c:pt>
                <c:pt idx="1">
                  <c:v>Q2 22</c:v>
                </c:pt>
                <c:pt idx="2">
                  <c:v>Q3 22</c:v>
                </c:pt>
                <c:pt idx="3">
                  <c:v>Q4 22</c:v>
                </c:pt>
                <c:pt idx="4">
                  <c:v>Q1 23</c:v>
                </c:pt>
                <c:pt idx="5">
                  <c:v>Q2 23</c:v>
                </c:pt>
                <c:pt idx="6">
                  <c:v>Q3 23</c:v>
                </c:pt>
                <c:pt idx="7">
                  <c:v>Q4 23</c:v>
                </c:pt>
                <c:pt idx="8">
                  <c:v>Q1 24</c:v>
                </c:pt>
              </c:strCache>
            </c:strRef>
          </c:cat>
          <c:val>
            <c:numRef>
              <c:f>Snaps!$N$85:$W$85</c:f>
              <c:numCache>
                <c:formatCode>0%</c:formatCode>
                <c:ptCount val="9"/>
                <c:pt idx="0">
                  <c:v>0.25</c:v>
                </c:pt>
                <c:pt idx="1">
                  <c:v>0.25</c:v>
                </c:pt>
                <c:pt idx="2">
                  <c:v>0.24871982443306506</c:v>
                </c:pt>
                <c:pt idx="3">
                  <c:v>0.28883495145631066</c:v>
                </c:pt>
                <c:pt idx="4">
                  <c:v>0.29966424174594297</c:v>
                </c:pt>
                <c:pt idx="5">
                  <c:v>0.27052366796249716</c:v>
                </c:pt>
                <c:pt idx="6">
                  <c:v>0.25747076656561285</c:v>
                </c:pt>
                <c:pt idx="7">
                  <c:v>0.27587556251222856</c:v>
                </c:pt>
                <c:pt idx="8">
                  <c:v>0.31129943502824864</c:v>
                </c:pt>
              </c:numCache>
            </c:numRef>
          </c:val>
          <c:extLst>
            <c:ext xmlns:c16="http://schemas.microsoft.com/office/drawing/2014/chart" uri="{C3380CC4-5D6E-409C-BE32-E72D297353CC}">
              <c16:uniqueId val="{00000001-6A58-43B3-9F8B-0C3A4E6B4270}"/>
            </c:ext>
          </c:extLst>
        </c:ser>
        <c:dLbls>
          <c:showLegendKey val="0"/>
          <c:showVal val="0"/>
          <c:showCatName val="0"/>
          <c:showSerName val="0"/>
          <c:showPercent val="0"/>
          <c:showBubbleSize val="0"/>
        </c:dLbls>
        <c:gapWidth val="30"/>
        <c:overlap val="-27"/>
        <c:axId val="662674112"/>
        <c:axId val="661264560"/>
      </c:barChart>
      <c:catAx>
        <c:axId val="66267411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661264560"/>
        <c:crosses val="autoZero"/>
        <c:auto val="1"/>
        <c:lblAlgn val="ctr"/>
        <c:lblOffset val="100"/>
        <c:noMultiLvlLbl val="0"/>
      </c:catAx>
      <c:valAx>
        <c:axId val="661264560"/>
        <c:scaling>
          <c:orientation val="minMax"/>
        </c:scaling>
        <c:delete val="1"/>
        <c:axPos val="l"/>
        <c:numFmt formatCode="0%" sourceLinked="1"/>
        <c:majorTickMark val="out"/>
        <c:minorTickMark val="none"/>
        <c:tickLblPos val="nextTo"/>
        <c:crossAx val="662674112"/>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Snaps!$M$104</c:f>
              <c:strCache>
                <c:ptCount val="1"/>
                <c:pt idx="0">
                  <c:v>X-border</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Snaps!$N$83:$W$83</c:f>
              <c:strCache>
                <c:ptCount val="9"/>
                <c:pt idx="0">
                  <c:v>Q1 22</c:v>
                </c:pt>
                <c:pt idx="1">
                  <c:v>Q2 22</c:v>
                </c:pt>
                <c:pt idx="2">
                  <c:v>Q3 22</c:v>
                </c:pt>
                <c:pt idx="3">
                  <c:v>Q4 22</c:v>
                </c:pt>
                <c:pt idx="4">
                  <c:v>Q1 23</c:v>
                </c:pt>
                <c:pt idx="5">
                  <c:v>Q2 23</c:v>
                </c:pt>
                <c:pt idx="6">
                  <c:v>Q3 23</c:v>
                </c:pt>
                <c:pt idx="7">
                  <c:v>Q4 23</c:v>
                </c:pt>
                <c:pt idx="8">
                  <c:v>Q1 24</c:v>
                </c:pt>
              </c:strCache>
            </c:strRef>
          </c:cat>
          <c:val>
            <c:numRef>
              <c:f>Snaps!$N$104:$W$104</c:f>
              <c:numCache>
                <c:formatCode>0%</c:formatCode>
                <c:ptCount val="9"/>
                <c:pt idx="0">
                  <c:v>0.66999999999999993</c:v>
                </c:pt>
                <c:pt idx="1">
                  <c:v>0.66999999999999993</c:v>
                </c:pt>
                <c:pt idx="2">
                  <c:v>0.56000000000000005</c:v>
                </c:pt>
                <c:pt idx="3">
                  <c:v>0.52942961165048541</c:v>
                </c:pt>
                <c:pt idx="4">
                  <c:v>0.54840514829322884</c:v>
                </c:pt>
                <c:pt idx="5">
                  <c:v>0.50743196890006859</c:v>
                </c:pt>
                <c:pt idx="6">
                  <c:v>0.48852317020355129</c:v>
                </c:pt>
                <c:pt idx="7">
                  <c:v>0.43729211504597926</c:v>
                </c:pt>
                <c:pt idx="8">
                  <c:v>0.45687382297551787</c:v>
                </c:pt>
              </c:numCache>
            </c:numRef>
          </c:val>
          <c:extLst>
            <c:ext xmlns:c16="http://schemas.microsoft.com/office/drawing/2014/chart" uri="{C3380CC4-5D6E-409C-BE32-E72D297353CC}">
              <c16:uniqueId val="{00000000-88DA-46CA-8156-24A0C115EDB9}"/>
            </c:ext>
          </c:extLst>
        </c:ser>
        <c:ser>
          <c:idx val="1"/>
          <c:order val="1"/>
          <c:tx>
            <c:strRef>
              <c:f>Snaps!$M$105</c:f>
              <c:strCache>
                <c:ptCount val="1"/>
                <c:pt idx="0">
                  <c:v>Local to local</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Snaps!$N$83:$W$83</c:f>
              <c:strCache>
                <c:ptCount val="9"/>
                <c:pt idx="0">
                  <c:v>Q1 22</c:v>
                </c:pt>
                <c:pt idx="1">
                  <c:v>Q2 22</c:v>
                </c:pt>
                <c:pt idx="2">
                  <c:v>Q3 22</c:v>
                </c:pt>
                <c:pt idx="3">
                  <c:v>Q4 22</c:v>
                </c:pt>
                <c:pt idx="4">
                  <c:v>Q1 23</c:v>
                </c:pt>
                <c:pt idx="5">
                  <c:v>Q2 23</c:v>
                </c:pt>
                <c:pt idx="6">
                  <c:v>Q3 23</c:v>
                </c:pt>
                <c:pt idx="7">
                  <c:v>Q4 23</c:v>
                </c:pt>
                <c:pt idx="8">
                  <c:v>Q1 24</c:v>
                </c:pt>
              </c:strCache>
            </c:strRef>
          </c:cat>
          <c:val>
            <c:numRef>
              <c:f>Snaps!$N$105:$W$105</c:f>
              <c:numCache>
                <c:formatCode>0%</c:formatCode>
                <c:ptCount val="9"/>
                <c:pt idx="0">
                  <c:v>0.33</c:v>
                </c:pt>
                <c:pt idx="1">
                  <c:v>0.33</c:v>
                </c:pt>
                <c:pt idx="2">
                  <c:v>0.43999999999999995</c:v>
                </c:pt>
                <c:pt idx="3">
                  <c:v>0.47057038834951459</c:v>
                </c:pt>
                <c:pt idx="4">
                  <c:v>0.45159485170677116</c:v>
                </c:pt>
                <c:pt idx="5">
                  <c:v>0.49256803109993141</c:v>
                </c:pt>
                <c:pt idx="6">
                  <c:v>0.51147682979644871</c:v>
                </c:pt>
                <c:pt idx="7">
                  <c:v>0.5627078849540208</c:v>
                </c:pt>
                <c:pt idx="8">
                  <c:v>0.54312617702448218</c:v>
                </c:pt>
              </c:numCache>
            </c:numRef>
          </c:val>
          <c:extLst>
            <c:ext xmlns:c16="http://schemas.microsoft.com/office/drawing/2014/chart" uri="{C3380CC4-5D6E-409C-BE32-E72D297353CC}">
              <c16:uniqueId val="{00000001-88DA-46CA-8156-24A0C115EDB9}"/>
            </c:ext>
          </c:extLst>
        </c:ser>
        <c:dLbls>
          <c:showLegendKey val="0"/>
          <c:showVal val="0"/>
          <c:showCatName val="0"/>
          <c:showSerName val="0"/>
          <c:showPercent val="0"/>
          <c:showBubbleSize val="0"/>
        </c:dLbls>
        <c:gapWidth val="30"/>
        <c:overlap val="-27"/>
        <c:axId val="662674112"/>
        <c:axId val="661264560"/>
      </c:barChart>
      <c:catAx>
        <c:axId val="66267411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661264560"/>
        <c:crosses val="autoZero"/>
        <c:auto val="1"/>
        <c:lblAlgn val="ctr"/>
        <c:lblOffset val="100"/>
        <c:noMultiLvlLbl val="0"/>
      </c:catAx>
      <c:valAx>
        <c:axId val="661264560"/>
        <c:scaling>
          <c:orientation val="minMax"/>
        </c:scaling>
        <c:delete val="1"/>
        <c:axPos val="l"/>
        <c:numFmt formatCode="0%" sourceLinked="1"/>
        <c:majorTickMark val="out"/>
        <c:minorTickMark val="none"/>
        <c:tickLblPos val="nextTo"/>
        <c:crossAx val="662674112"/>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Snaps!$B$258</c:f>
              <c:strCache>
                <c:ptCount val="1"/>
                <c:pt idx="0">
                  <c:v>Nigeria</c:v>
                </c:pt>
              </c:strCache>
            </c:strRef>
          </c:tx>
          <c:spPr>
            <a:ln w="25400" cap="rnd">
              <a:solidFill>
                <a:srgbClr val="26323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595959"/>
                    </a:solidFill>
                    <a:latin typeface="Helvetica Neue"/>
                    <a:ea typeface="Helvetica Neue"/>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Snaps!$E$243:$M$243</c:f>
              <c:strCache>
                <c:ptCount val="5"/>
                <c:pt idx="0">
                  <c:v>Q4 22</c:v>
                </c:pt>
                <c:pt idx="1">
                  <c:v>Q1 23</c:v>
                </c:pt>
                <c:pt idx="2">
                  <c:v>Q2 23</c:v>
                </c:pt>
                <c:pt idx="3">
                  <c:v>Q3 23</c:v>
                </c:pt>
                <c:pt idx="4">
                  <c:v>Q1 24</c:v>
                </c:pt>
              </c:strCache>
            </c:strRef>
          </c:cat>
          <c:val>
            <c:numRef>
              <c:f>Snaps!$E$258:$M$258</c:f>
              <c:numCache>
                <c:formatCode>0%</c:formatCode>
                <c:ptCount val="5"/>
                <c:pt idx="0">
                  <c:v>0.12256973795435336</c:v>
                </c:pt>
                <c:pt idx="1">
                  <c:v>0.20104633781763823</c:v>
                </c:pt>
                <c:pt idx="2">
                  <c:v>0.13043478260869565</c:v>
                </c:pt>
                <c:pt idx="3">
                  <c:v>5.3966189856957086E-2</c:v>
                </c:pt>
                <c:pt idx="4">
                  <c:v>4.9518569463548837E-2</c:v>
                </c:pt>
              </c:numCache>
            </c:numRef>
          </c:val>
          <c:smooth val="0"/>
          <c:extLst>
            <c:ext xmlns:c16="http://schemas.microsoft.com/office/drawing/2014/chart" uri="{C3380CC4-5D6E-409C-BE32-E72D297353CC}">
              <c16:uniqueId val="{00000000-E7B7-440B-BBFD-28542CA2FFD7}"/>
            </c:ext>
          </c:extLst>
        </c:ser>
        <c:dLbls>
          <c:showLegendKey val="0"/>
          <c:showVal val="0"/>
          <c:showCatName val="0"/>
          <c:showSerName val="0"/>
          <c:showPercent val="0"/>
          <c:showBubbleSize val="0"/>
        </c:dLbls>
        <c:smooth val="0"/>
        <c:axId val="1546605423"/>
        <c:axId val="1546600623"/>
      </c:lineChart>
      <c:catAx>
        <c:axId val="1546605423"/>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546600623"/>
        <c:crosses val="autoZero"/>
        <c:auto val="1"/>
        <c:lblAlgn val="ctr"/>
        <c:lblOffset val="100"/>
        <c:noMultiLvlLbl val="0"/>
      </c:catAx>
      <c:valAx>
        <c:axId val="1546600623"/>
        <c:scaling>
          <c:orientation val="minMax"/>
        </c:scaling>
        <c:delete val="1"/>
        <c:axPos val="l"/>
        <c:numFmt formatCode="0%" sourceLinked="1"/>
        <c:majorTickMark val="out"/>
        <c:minorTickMark val="none"/>
        <c:tickLblPos val="nextTo"/>
        <c:crossAx val="154660542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Snaps!$L$243</c:f>
              <c:strCache>
                <c:ptCount val="1"/>
                <c:pt idx="0">
                  <c:v>Q4 23</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Snaps!$B$271:$B$277</c:f>
              <c:strCache>
                <c:ptCount val="7"/>
                <c:pt idx="0">
                  <c:v>Brazil</c:v>
                </c:pt>
                <c:pt idx="1">
                  <c:v>Other Africa/Asia</c:v>
                </c:pt>
                <c:pt idx="2">
                  <c:v>Nigeria</c:v>
                </c:pt>
                <c:pt idx="3">
                  <c:v>Mexico</c:v>
                </c:pt>
                <c:pt idx="4">
                  <c:v>Other LatAm</c:v>
                </c:pt>
                <c:pt idx="5">
                  <c:v>Chile</c:v>
                </c:pt>
                <c:pt idx="6">
                  <c:v>Argentina</c:v>
                </c:pt>
              </c:strCache>
            </c:strRef>
          </c:cat>
          <c:val>
            <c:numRef>
              <c:f>Snaps!$L$271:$L$277</c:f>
            </c:numRef>
          </c:val>
          <c:extLst>
            <c:ext xmlns:c16="http://schemas.microsoft.com/office/drawing/2014/chart" uri="{C3380CC4-5D6E-409C-BE32-E72D297353CC}">
              <c16:uniqueId val="{00000000-766B-4ECC-BA0A-C43C756D3ABA}"/>
            </c:ext>
          </c:extLst>
        </c:ser>
        <c:ser>
          <c:idx val="1"/>
          <c:order val="1"/>
          <c:tx>
            <c:strRef>
              <c:f>Snaps!$M$243</c:f>
              <c:strCache>
                <c:ptCount val="1"/>
                <c:pt idx="0">
                  <c:v>Q1 24</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Snaps!$B$271:$B$277</c:f>
              <c:strCache>
                <c:ptCount val="7"/>
                <c:pt idx="0">
                  <c:v>Brazil</c:v>
                </c:pt>
                <c:pt idx="1">
                  <c:v>Other Africa/Asia</c:v>
                </c:pt>
                <c:pt idx="2">
                  <c:v>Nigeria</c:v>
                </c:pt>
                <c:pt idx="3">
                  <c:v>Mexico</c:v>
                </c:pt>
                <c:pt idx="4">
                  <c:v>Other LatAm</c:v>
                </c:pt>
                <c:pt idx="5">
                  <c:v>Chile</c:v>
                </c:pt>
                <c:pt idx="6">
                  <c:v>Argentina</c:v>
                </c:pt>
              </c:strCache>
            </c:strRef>
          </c:cat>
          <c:val>
            <c:numRef>
              <c:f>Snaps!$M$271:$M$277</c:f>
              <c:numCache>
                <c:formatCode>0%</c:formatCode>
                <c:ptCount val="7"/>
                <c:pt idx="0">
                  <c:v>0.38450502152080324</c:v>
                </c:pt>
                <c:pt idx="1">
                  <c:v>0.24533715925394534</c:v>
                </c:pt>
                <c:pt idx="2">
                  <c:v>0.19942611190817774</c:v>
                </c:pt>
                <c:pt idx="3">
                  <c:v>0.18938307030129117</c:v>
                </c:pt>
                <c:pt idx="4">
                  <c:v>2.008608321377333E-2</c:v>
                </c:pt>
                <c:pt idx="5">
                  <c:v>1.4347202295552359E-2</c:v>
                </c:pt>
                <c:pt idx="6">
                  <c:v>-5.3084648493543711E-2</c:v>
                </c:pt>
              </c:numCache>
            </c:numRef>
          </c:val>
          <c:extLst>
            <c:ext xmlns:c16="http://schemas.microsoft.com/office/drawing/2014/chart" uri="{C3380CC4-5D6E-409C-BE32-E72D297353CC}">
              <c16:uniqueId val="{00000001-766B-4ECC-BA0A-C43C756D3ABA}"/>
            </c:ext>
          </c:extLst>
        </c:ser>
        <c:dLbls>
          <c:showLegendKey val="0"/>
          <c:showVal val="0"/>
          <c:showCatName val="0"/>
          <c:showSerName val="0"/>
          <c:showPercent val="0"/>
          <c:showBubbleSize val="0"/>
        </c:dLbls>
        <c:gapWidth val="30"/>
        <c:overlap val="-27"/>
        <c:axId val="827005504"/>
        <c:axId val="203586976"/>
      </c:barChart>
      <c:catAx>
        <c:axId val="827005504"/>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03586976"/>
        <c:crosses val="autoZero"/>
        <c:auto val="1"/>
        <c:lblAlgn val="ctr"/>
        <c:lblOffset val="100"/>
        <c:noMultiLvlLbl val="0"/>
      </c:catAx>
      <c:valAx>
        <c:axId val="203586976"/>
        <c:scaling>
          <c:orientation val="minMax"/>
        </c:scaling>
        <c:delete val="1"/>
        <c:axPos val="l"/>
        <c:numFmt formatCode="0%" sourceLinked="1"/>
        <c:majorTickMark val="out"/>
        <c:minorTickMark val="none"/>
        <c:tickLblPos val="nextTo"/>
        <c:crossAx val="82700550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Snaps!$B$244</c:f>
              <c:strCache>
                <c:ptCount val="1"/>
                <c:pt idx="0">
                  <c:v>Brazil</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cat>
            <c:strRef>
              <c:f>Snaps!$E$243:$M$243</c:f>
              <c:strCache>
                <c:ptCount val="5"/>
                <c:pt idx="0">
                  <c:v>Q4 22</c:v>
                </c:pt>
                <c:pt idx="1">
                  <c:v>Q1 23</c:v>
                </c:pt>
                <c:pt idx="2">
                  <c:v>Q2 23</c:v>
                </c:pt>
                <c:pt idx="3">
                  <c:v>Q3 23</c:v>
                </c:pt>
                <c:pt idx="4">
                  <c:v>Q1 24</c:v>
                </c:pt>
              </c:strCache>
            </c:strRef>
          </c:cat>
          <c:val>
            <c:numRef>
              <c:f>Snaps!$E$244:$M$244</c:f>
              <c:numCache>
                <c:formatCode>0.0</c:formatCode>
                <c:ptCount val="5"/>
                <c:pt idx="0">
                  <c:v>23.4</c:v>
                </c:pt>
                <c:pt idx="1">
                  <c:v>22.8</c:v>
                </c:pt>
                <c:pt idx="2">
                  <c:v>41.2</c:v>
                </c:pt>
                <c:pt idx="3">
                  <c:v>44.7</c:v>
                </c:pt>
                <c:pt idx="4">
                  <c:v>43.1</c:v>
                </c:pt>
              </c:numCache>
            </c:numRef>
          </c:val>
          <c:extLst>
            <c:ext xmlns:c16="http://schemas.microsoft.com/office/drawing/2014/chart" uri="{C3380CC4-5D6E-409C-BE32-E72D297353CC}">
              <c16:uniqueId val="{00000000-E877-4928-BE5A-A8FFF1627402}"/>
            </c:ext>
          </c:extLst>
        </c:ser>
        <c:ser>
          <c:idx val="1"/>
          <c:order val="1"/>
          <c:tx>
            <c:strRef>
              <c:f>Snaps!$B$245</c:f>
              <c:strCache>
                <c:ptCount val="1"/>
                <c:pt idx="0">
                  <c:v>Argentina</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cat>
            <c:strRef>
              <c:f>Snaps!$E$243:$M$243</c:f>
              <c:strCache>
                <c:ptCount val="5"/>
                <c:pt idx="0">
                  <c:v>Q4 22</c:v>
                </c:pt>
                <c:pt idx="1">
                  <c:v>Q1 23</c:v>
                </c:pt>
                <c:pt idx="2">
                  <c:v>Q2 23</c:v>
                </c:pt>
                <c:pt idx="3">
                  <c:v>Q3 23</c:v>
                </c:pt>
                <c:pt idx="4">
                  <c:v>Q1 24</c:v>
                </c:pt>
              </c:strCache>
            </c:strRef>
          </c:cat>
          <c:val>
            <c:numRef>
              <c:f>Snaps!$E$245:$M$245</c:f>
              <c:numCache>
                <c:formatCode>0.0</c:formatCode>
                <c:ptCount val="5"/>
                <c:pt idx="0">
                  <c:v>14.2</c:v>
                </c:pt>
                <c:pt idx="1">
                  <c:v>20</c:v>
                </c:pt>
                <c:pt idx="2">
                  <c:v>20.7</c:v>
                </c:pt>
                <c:pt idx="3">
                  <c:v>23.9</c:v>
                </c:pt>
                <c:pt idx="4">
                  <c:v>13.8</c:v>
                </c:pt>
              </c:numCache>
            </c:numRef>
          </c:val>
          <c:extLst>
            <c:ext xmlns:c16="http://schemas.microsoft.com/office/drawing/2014/chart" uri="{C3380CC4-5D6E-409C-BE32-E72D297353CC}">
              <c16:uniqueId val="{00000001-E877-4928-BE5A-A8FFF1627402}"/>
            </c:ext>
          </c:extLst>
        </c:ser>
        <c:ser>
          <c:idx val="2"/>
          <c:order val="2"/>
          <c:tx>
            <c:strRef>
              <c:f>Snaps!$B$246</c:f>
              <c:strCache>
                <c:ptCount val="1"/>
                <c:pt idx="0">
                  <c:v>Mexico</c:v>
                </c:pt>
              </c:strCache>
            </c:strRef>
          </c:tx>
          <c:spPr>
            <a:solidFill>
              <a:srgbClr val="F9663E"/>
            </a:solidFill>
            <a:ln>
              <a:noFill/>
            </a:ln>
            <a:effectLst/>
            <a:extLst>
              <a:ext uri="{91240B29-F687-4F45-9708-019B960494DF}">
                <a14:hiddenLine xmlns:a14="http://schemas.microsoft.com/office/drawing/2010/main">
                  <a:noFill/>
                </a14:hiddenLine>
              </a:ext>
            </a:extLst>
          </c:spPr>
          <c:invertIfNegative val="0"/>
          <c:cat>
            <c:strRef>
              <c:f>Snaps!$E$243:$M$243</c:f>
              <c:strCache>
                <c:ptCount val="5"/>
                <c:pt idx="0">
                  <c:v>Q4 22</c:v>
                </c:pt>
                <c:pt idx="1">
                  <c:v>Q1 23</c:v>
                </c:pt>
                <c:pt idx="2">
                  <c:v>Q2 23</c:v>
                </c:pt>
                <c:pt idx="3">
                  <c:v>Q3 23</c:v>
                </c:pt>
                <c:pt idx="4">
                  <c:v>Q1 24</c:v>
                </c:pt>
              </c:strCache>
            </c:strRef>
          </c:cat>
          <c:val>
            <c:numRef>
              <c:f>Snaps!$E$246:$M$246</c:f>
              <c:numCache>
                <c:formatCode>0.0</c:formatCode>
                <c:ptCount val="5"/>
                <c:pt idx="0">
                  <c:v>22.4</c:v>
                </c:pt>
                <c:pt idx="1">
                  <c:v>22.7</c:v>
                </c:pt>
                <c:pt idx="2">
                  <c:v>28.3</c:v>
                </c:pt>
                <c:pt idx="3">
                  <c:v>30.2</c:v>
                </c:pt>
                <c:pt idx="4">
                  <c:v>34</c:v>
                </c:pt>
              </c:numCache>
            </c:numRef>
          </c:val>
          <c:extLst>
            <c:ext xmlns:c16="http://schemas.microsoft.com/office/drawing/2014/chart" uri="{C3380CC4-5D6E-409C-BE32-E72D297353CC}">
              <c16:uniqueId val="{00000002-E877-4928-BE5A-A8FFF1627402}"/>
            </c:ext>
          </c:extLst>
        </c:ser>
        <c:ser>
          <c:idx val="3"/>
          <c:order val="3"/>
          <c:tx>
            <c:strRef>
              <c:f>Snaps!$B$247</c:f>
              <c:strCache>
                <c:ptCount val="1"/>
                <c:pt idx="0">
                  <c:v>Chile</c:v>
                </c:pt>
              </c:strCache>
            </c:strRef>
          </c:tx>
          <c:spPr>
            <a:solidFill>
              <a:srgbClr val="C7FE02"/>
            </a:solidFill>
            <a:ln>
              <a:noFill/>
            </a:ln>
            <a:effectLst/>
            <a:extLst>
              <a:ext uri="{91240B29-F687-4F45-9708-019B960494DF}">
                <a14:hiddenLine xmlns:a14="http://schemas.microsoft.com/office/drawing/2010/main">
                  <a:noFill/>
                </a14:hiddenLine>
              </a:ext>
            </a:extLst>
          </c:spPr>
          <c:invertIfNegative val="0"/>
          <c:cat>
            <c:strRef>
              <c:f>Snaps!$E$243:$M$243</c:f>
              <c:strCache>
                <c:ptCount val="5"/>
                <c:pt idx="0">
                  <c:v>Q4 22</c:v>
                </c:pt>
                <c:pt idx="1">
                  <c:v>Q1 23</c:v>
                </c:pt>
                <c:pt idx="2">
                  <c:v>Q2 23</c:v>
                </c:pt>
                <c:pt idx="3">
                  <c:v>Q3 23</c:v>
                </c:pt>
                <c:pt idx="4">
                  <c:v>Q1 24</c:v>
                </c:pt>
              </c:strCache>
            </c:strRef>
          </c:cat>
          <c:val>
            <c:numRef>
              <c:f>Snaps!$E$247:$M$247</c:f>
              <c:numCache>
                <c:formatCode>0.0</c:formatCode>
                <c:ptCount val="5"/>
                <c:pt idx="0">
                  <c:v>13.9</c:v>
                </c:pt>
                <c:pt idx="1">
                  <c:v>14.2</c:v>
                </c:pt>
                <c:pt idx="2">
                  <c:v>14.2</c:v>
                </c:pt>
                <c:pt idx="3">
                  <c:v>12.4</c:v>
                </c:pt>
                <c:pt idx="4">
                  <c:v>12.4</c:v>
                </c:pt>
              </c:numCache>
            </c:numRef>
          </c:val>
          <c:extLst>
            <c:ext xmlns:c16="http://schemas.microsoft.com/office/drawing/2014/chart" uri="{C3380CC4-5D6E-409C-BE32-E72D297353CC}">
              <c16:uniqueId val="{00000003-E877-4928-BE5A-A8FFF1627402}"/>
            </c:ext>
          </c:extLst>
        </c:ser>
        <c:ser>
          <c:idx val="4"/>
          <c:order val="4"/>
          <c:tx>
            <c:strRef>
              <c:f>Snaps!$B$248</c:f>
              <c:strCache>
                <c:ptCount val="1"/>
                <c:pt idx="0">
                  <c:v>Other LatAm</c:v>
                </c:pt>
              </c:strCache>
            </c:strRef>
          </c:tx>
          <c:spPr>
            <a:solidFill>
              <a:srgbClr val="00C994"/>
            </a:solidFill>
            <a:ln>
              <a:noFill/>
            </a:ln>
            <a:effectLst/>
            <a:extLst>
              <a:ext uri="{91240B29-F687-4F45-9708-019B960494DF}">
                <a14:hiddenLine xmlns:a14="http://schemas.microsoft.com/office/drawing/2010/main">
                  <a:noFill/>
                </a14:hiddenLine>
              </a:ext>
            </a:extLst>
          </c:spPr>
          <c:invertIfNegative val="0"/>
          <c:cat>
            <c:strRef>
              <c:f>Snaps!$E$243:$M$243</c:f>
              <c:strCache>
                <c:ptCount val="5"/>
                <c:pt idx="0">
                  <c:v>Q4 22</c:v>
                </c:pt>
                <c:pt idx="1">
                  <c:v>Q1 23</c:v>
                </c:pt>
                <c:pt idx="2">
                  <c:v>Q2 23</c:v>
                </c:pt>
                <c:pt idx="3">
                  <c:v>Q3 23</c:v>
                </c:pt>
                <c:pt idx="4">
                  <c:v>Q1 24</c:v>
                </c:pt>
              </c:strCache>
            </c:strRef>
          </c:cat>
          <c:val>
            <c:numRef>
              <c:f>Snaps!$E$248:$M$248</c:f>
              <c:numCache>
                <c:formatCode>0.0</c:formatCode>
                <c:ptCount val="5"/>
                <c:pt idx="0">
                  <c:v>18.899999999999999</c:v>
                </c:pt>
                <c:pt idx="1">
                  <c:v>18.5</c:v>
                </c:pt>
                <c:pt idx="2">
                  <c:v>22.5</c:v>
                </c:pt>
                <c:pt idx="3">
                  <c:v>24.8</c:v>
                </c:pt>
                <c:pt idx="4">
                  <c:v>22.1</c:v>
                </c:pt>
              </c:numCache>
            </c:numRef>
          </c:val>
          <c:extLst>
            <c:ext xmlns:c16="http://schemas.microsoft.com/office/drawing/2014/chart" uri="{C3380CC4-5D6E-409C-BE32-E72D297353CC}">
              <c16:uniqueId val="{00000004-E877-4928-BE5A-A8FFF1627402}"/>
            </c:ext>
          </c:extLst>
        </c:ser>
        <c:ser>
          <c:idx val="5"/>
          <c:order val="5"/>
          <c:tx>
            <c:strRef>
              <c:f>Snaps!$B$249</c:f>
              <c:strCache>
                <c:ptCount val="1"/>
                <c:pt idx="0">
                  <c:v>Nigeria</c:v>
                </c:pt>
              </c:strCache>
            </c:strRef>
          </c:tx>
          <c:spPr>
            <a:solidFill>
              <a:srgbClr val="465A63"/>
            </a:solidFill>
            <a:ln>
              <a:noFill/>
            </a:ln>
            <a:effectLst/>
            <a:extLst>
              <a:ext uri="{91240B29-F687-4F45-9708-019B960494DF}">
                <a14:hiddenLine xmlns:a14="http://schemas.microsoft.com/office/drawing/2010/main">
                  <a:noFill/>
                </a14:hiddenLine>
              </a:ext>
            </a:extLst>
          </c:spPr>
          <c:invertIfNegative val="0"/>
          <c:cat>
            <c:strRef>
              <c:f>Snaps!$E$243:$M$243</c:f>
              <c:strCache>
                <c:ptCount val="5"/>
                <c:pt idx="0">
                  <c:v>Q4 22</c:v>
                </c:pt>
                <c:pt idx="1">
                  <c:v>Q1 23</c:v>
                </c:pt>
                <c:pt idx="2">
                  <c:v>Q2 23</c:v>
                </c:pt>
                <c:pt idx="3">
                  <c:v>Q3 23</c:v>
                </c:pt>
                <c:pt idx="4">
                  <c:v>Q1 24</c:v>
                </c:pt>
              </c:strCache>
            </c:strRef>
          </c:cat>
          <c:val>
            <c:numRef>
              <c:f>Snaps!$E$249:$M$249</c:f>
              <c:numCache>
                <c:formatCode>0.0</c:formatCode>
                <c:ptCount val="5"/>
                <c:pt idx="0">
                  <c:v>14.5</c:v>
                </c:pt>
                <c:pt idx="1">
                  <c:v>26.9</c:v>
                </c:pt>
                <c:pt idx="2">
                  <c:v>20.399999999999999</c:v>
                </c:pt>
                <c:pt idx="3">
                  <c:v>8.3000000000000007</c:v>
                </c:pt>
                <c:pt idx="4">
                  <c:v>7.2</c:v>
                </c:pt>
              </c:numCache>
            </c:numRef>
          </c:val>
          <c:extLst>
            <c:ext xmlns:c16="http://schemas.microsoft.com/office/drawing/2014/chart" uri="{C3380CC4-5D6E-409C-BE32-E72D297353CC}">
              <c16:uniqueId val="{00000005-E877-4928-BE5A-A8FFF1627402}"/>
            </c:ext>
          </c:extLst>
        </c:ser>
        <c:ser>
          <c:idx val="6"/>
          <c:order val="6"/>
          <c:tx>
            <c:strRef>
              <c:f>Snaps!$B$250</c:f>
              <c:strCache>
                <c:ptCount val="1"/>
                <c:pt idx="0">
                  <c:v>Other Africa/Asia</c:v>
                </c:pt>
              </c:strCache>
            </c:strRef>
          </c:tx>
          <c:spPr>
            <a:solidFill>
              <a:srgbClr val="B0BEC5"/>
            </a:solidFill>
            <a:ln>
              <a:noFill/>
            </a:ln>
            <a:effectLst/>
            <a:extLst>
              <a:ext uri="{91240B29-F687-4F45-9708-019B960494DF}">
                <a14:hiddenLine xmlns:a14="http://schemas.microsoft.com/office/drawing/2010/main">
                  <a:noFill/>
                </a14:hiddenLine>
              </a:ext>
            </a:extLst>
          </c:spPr>
          <c:invertIfNegative val="0"/>
          <c:cat>
            <c:strRef>
              <c:f>Snaps!$E$243:$M$243</c:f>
              <c:strCache>
                <c:ptCount val="5"/>
                <c:pt idx="0">
                  <c:v>Q4 22</c:v>
                </c:pt>
                <c:pt idx="1">
                  <c:v>Q1 23</c:v>
                </c:pt>
                <c:pt idx="2">
                  <c:v>Q2 23</c:v>
                </c:pt>
                <c:pt idx="3">
                  <c:v>Q3 23</c:v>
                </c:pt>
                <c:pt idx="4">
                  <c:v>Q1 24</c:v>
                </c:pt>
              </c:strCache>
            </c:strRef>
          </c:cat>
          <c:val>
            <c:numRef>
              <c:f>Snaps!$E$250:$M$250</c:f>
              <c:numCache>
                <c:formatCode>0.0</c:formatCode>
                <c:ptCount val="5"/>
                <c:pt idx="0">
                  <c:v>11</c:v>
                </c:pt>
                <c:pt idx="1">
                  <c:v>8.7000000000000099</c:v>
                </c:pt>
                <c:pt idx="2">
                  <c:v>9.0999999999999908</c:v>
                </c:pt>
                <c:pt idx="3">
                  <c:v>9.5000000000000053</c:v>
                </c:pt>
                <c:pt idx="4">
                  <c:v>12.799999999999997</c:v>
                </c:pt>
              </c:numCache>
            </c:numRef>
          </c:val>
          <c:extLst>
            <c:ext xmlns:c16="http://schemas.microsoft.com/office/drawing/2014/chart" uri="{C3380CC4-5D6E-409C-BE32-E72D297353CC}">
              <c16:uniqueId val="{00000006-E877-4928-BE5A-A8FFF1627402}"/>
            </c:ext>
          </c:extLst>
        </c:ser>
        <c:dLbls>
          <c:showLegendKey val="0"/>
          <c:showVal val="0"/>
          <c:showCatName val="0"/>
          <c:showSerName val="0"/>
          <c:showPercent val="0"/>
          <c:showBubbleSize val="0"/>
        </c:dLbls>
        <c:gapWidth val="30"/>
        <c:overlap val="100"/>
        <c:axId val="1869139424"/>
        <c:axId val="597466816"/>
      </c:barChart>
      <c:catAx>
        <c:axId val="1869139424"/>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597466816"/>
        <c:crosses val="autoZero"/>
        <c:auto val="1"/>
        <c:lblAlgn val="ctr"/>
        <c:lblOffset val="100"/>
        <c:noMultiLvlLbl val="0"/>
      </c:catAx>
      <c:valAx>
        <c:axId val="597466816"/>
        <c:scaling>
          <c:orientation val="minMax"/>
        </c:scaling>
        <c:delete val="0"/>
        <c:axPos val="l"/>
        <c:numFmt formatCode="0.0" sourceLinked="1"/>
        <c:majorTickMark val="out"/>
        <c:minorTickMark val="none"/>
        <c:tickLblPos val="nextTo"/>
        <c:spPr>
          <a:noFill/>
          <a:ln>
            <a:solidFill>
              <a:srgbClr val="B3B3B3"/>
            </a:solid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86913942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595959"/>
                    </a:solidFill>
                    <a:latin typeface="Roboto" panose="02000000000000000000" pitchFamily="2" charset="0"/>
                    <a:ea typeface="Roboto" panose="02000000000000000000" pitchFamily="2" charset="0"/>
                    <a:cs typeface="Roboto" panose="02000000000000000000" pitchFamily="2"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Quarts!$H$2:$W$2</c:f>
              <c:strCache>
                <c:ptCount val="9"/>
                <c:pt idx="0">
                  <c:v>Q1 22</c:v>
                </c:pt>
                <c:pt idx="1">
                  <c:v>Q2 22</c:v>
                </c:pt>
                <c:pt idx="2">
                  <c:v>Q3 22</c:v>
                </c:pt>
                <c:pt idx="3">
                  <c:v>Q4 22</c:v>
                </c:pt>
                <c:pt idx="4">
                  <c:v>Q1 23</c:v>
                </c:pt>
                <c:pt idx="5">
                  <c:v>Q2 23</c:v>
                </c:pt>
                <c:pt idx="6">
                  <c:v>Q3 23</c:v>
                </c:pt>
                <c:pt idx="7">
                  <c:v>Q4 23</c:v>
                </c:pt>
                <c:pt idx="8">
                  <c:v>Q1 24</c:v>
                </c:pt>
              </c:strCache>
            </c:strRef>
          </c:cat>
          <c:val>
            <c:numRef>
              <c:f>Quarts!$H$95:$W$95</c:f>
              <c:numCache>
                <c:formatCode>0.00%</c:formatCode>
                <c:ptCount val="9"/>
                <c:pt idx="0">
                  <c:v>2.0722433460076045E-2</c:v>
                </c:pt>
                <c:pt idx="1">
                  <c:v>2.0386354295108919E-2</c:v>
                </c:pt>
                <c:pt idx="2">
                  <c:v>1.9704462326261888E-2</c:v>
                </c:pt>
                <c:pt idx="3">
                  <c:v>1.6717233009708739E-2</c:v>
                </c:pt>
                <c:pt idx="4">
                  <c:v>1.7291550083939566E-2</c:v>
                </c:pt>
                <c:pt idx="5">
                  <c:v>1.6167390807226165E-2</c:v>
                </c:pt>
                <c:pt idx="6">
                  <c:v>1.613252490255522E-2</c:v>
                </c:pt>
                <c:pt idx="7">
                  <c:v>1.3676384269223246E-2</c:v>
                </c:pt>
                <c:pt idx="8">
                  <c:v>1.1864406779661017E-2</c:v>
                </c:pt>
              </c:numCache>
            </c:numRef>
          </c:val>
          <c:extLst>
            <c:ext xmlns:c16="http://schemas.microsoft.com/office/drawing/2014/chart" uri="{C3380CC4-5D6E-409C-BE32-E72D297353CC}">
              <c16:uniqueId val="{00000000-0AE6-41F0-9948-C090515E3579}"/>
            </c:ext>
          </c:extLst>
        </c:ser>
        <c:dLbls>
          <c:showLegendKey val="0"/>
          <c:showVal val="0"/>
          <c:showCatName val="0"/>
          <c:showSerName val="0"/>
          <c:showPercent val="0"/>
          <c:showBubbleSize val="0"/>
        </c:dLbls>
        <c:gapWidth val="30"/>
        <c:overlap val="-27"/>
        <c:axId val="631750432"/>
        <c:axId val="631751680"/>
      </c:barChart>
      <c:catAx>
        <c:axId val="63175043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631751680"/>
        <c:crosses val="autoZero"/>
        <c:auto val="1"/>
        <c:lblAlgn val="ctr"/>
        <c:lblOffset val="100"/>
        <c:noMultiLvlLbl val="0"/>
      </c:catAx>
      <c:valAx>
        <c:axId val="631751680"/>
        <c:scaling>
          <c:orientation val="minMax"/>
        </c:scaling>
        <c:delete val="1"/>
        <c:axPos val="l"/>
        <c:numFmt formatCode="0.00%" sourceLinked="1"/>
        <c:majorTickMark val="out"/>
        <c:minorTickMark val="none"/>
        <c:tickLblPos val="nextTo"/>
        <c:crossAx val="63175043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cat>
            <c:strRef>
              <c:f>Analysis!$B$86:$B$89</c:f>
              <c:strCache>
                <c:ptCount val="4"/>
                <c:pt idx="0">
                  <c:v>Total Pay-in TAM</c:v>
                </c:pt>
                <c:pt idx="1">
                  <c:v>Total LatAm Pay-in TAM</c:v>
                </c:pt>
                <c:pt idx="2">
                  <c:v>Total Cross-border Pay-in TAM</c:v>
                </c:pt>
                <c:pt idx="3">
                  <c:v>Total LatAm Cross-border Pay-in TAM</c:v>
                </c:pt>
              </c:strCache>
            </c:strRef>
          </c:cat>
          <c:val>
            <c:numRef>
              <c:f>Analysis!$C$86:$C$89</c:f>
              <c:numCache>
                <c:formatCode>0.0%</c:formatCode>
                <c:ptCount val="4"/>
                <c:pt idx="0">
                  <c:v>2.7168539325842698E-3</c:v>
                </c:pt>
                <c:pt idx="1">
                  <c:v>1.3433333333333334E-2</c:v>
                </c:pt>
                <c:pt idx="2">
                  <c:v>5.1325471698113207E-3</c:v>
                </c:pt>
                <c:pt idx="3">
                  <c:v>2.6631818181818184E-2</c:v>
                </c:pt>
              </c:numCache>
            </c:numRef>
          </c:val>
          <c:extLst>
            <c:ext xmlns:c16="http://schemas.microsoft.com/office/drawing/2014/chart" uri="{C3380CC4-5D6E-409C-BE32-E72D297353CC}">
              <c16:uniqueId val="{00000000-E2E7-4E97-9807-7D548263FE65}"/>
            </c:ext>
          </c:extLst>
        </c:ser>
        <c:dLbls>
          <c:showLegendKey val="0"/>
          <c:showVal val="0"/>
          <c:showCatName val="0"/>
          <c:showSerName val="0"/>
          <c:showPercent val="0"/>
          <c:showBubbleSize val="0"/>
        </c:dLbls>
        <c:gapWidth val="219"/>
        <c:overlap val="-27"/>
        <c:axId val="712142624"/>
        <c:axId val="712143936"/>
      </c:barChart>
      <c:catAx>
        <c:axId val="71214262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712143936"/>
        <c:crosses val="autoZero"/>
        <c:auto val="1"/>
        <c:lblAlgn val="ctr"/>
        <c:lblOffset val="100"/>
        <c:noMultiLvlLbl val="0"/>
      </c:catAx>
      <c:valAx>
        <c:axId val="712143936"/>
        <c:scaling>
          <c:orientation val="minMax"/>
        </c:scaling>
        <c:delete val="0"/>
        <c:axPos val="l"/>
        <c:majorGridlines>
          <c:spPr>
            <a:ln w="3175" cap="flat" cmpd="sng" algn="ctr">
              <a:solidFill>
                <a:srgbClr val="C0C0C0"/>
              </a:solidFill>
              <a:prstDash val="solid"/>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71214262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080"/>
            </a:solidFill>
            <a:ln w="25400">
              <a:noFill/>
            </a:ln>
            <a:effectLst/>
          </c:spPr>
          <c:invertIfNegative val="0"/>
          <c:cat>
            <c:strRef>
              <c:f>Analysis!$B$99:$B$100</c:f>
              <c:strCache>
                <c:ptCount val="2"/>
                <c:pt idx="0">
                  <c:v>Uber</c:v>
                </c:pt>
                <c:pt idx="1">
                  <c:v>Netflix</c:v>
                </c:pt>
              </c:strCache>
            </c:strRef>
          </c:cat>
          <c:val>
            <c:numRef>
              <c:f>Analysis!$C$99:$C$100</c:f>
              <c:numCache>
                <c:formatCode>0.0%</c:formatCode>
                <c:ptCount val="2"/>
                <c:pt idx="0">
                  <c:v>4.8819973718791064E-2</c:v>
                </c:pt>
                <c:pt idx="1">
                  <c:v>3.5315589353612169E-2</c:v>
                </c:pt>
              </c:numCache>
            </c:numRef>
          </c:val>
          <c:extLst>
            <c:ext xmlns:c16="http://schemas.microsoft.com/office/drawing/2014/chart" uri="{C3380CC4-5D6E-409C-BE32-E72D297353CC}">
              <c16:uniqueId val="{00000000-42F1-4679-BBD9-F25C5C0D6E6A}"/>
            </c:ext>
          </c:extLst>
        </c:ser>
        <c:dLbls>
          <c:showLegendKey val="0"/>
          <c:showVal val="0"/>
          <c:showCatName val="0"/>
          <c:showSerName val="0"/>
          <c:showPercent val="0"/>
          <c:showBubbleSize val="0"/>
        </c:dLbls>
        <c:gapWidth val="219"/>
        <c:overlap val="-27"/>
        <c:axId val="651606272"/>
        <c:axId val="651613816"/>
      </c:barChart>
      <c:catAx>
        <c:axId val="65160627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651613816"/>
        <c:crosses val="autoZero"/>
        <c:auto val="1"/>
        <c:lblAlgn val="ctr"/>
        <c:lblOffset val="100"/>
        <c:noMultiLvlLbl val="0"/>
      </c:catAx>
      <c:valAx>
        <c:axId val="651613816"/>
        <c:scaling>
          <c:orientation val="minMax"/>
        </c:scaling>
        <c:delete val="0"/>
        <c:axPos val="l"/>
        <c:majorGridlines>
          <c:spPr>
            <a:ln w="3175" cap="flat" cmpd="sng" algn="ctr">
              <a:solidFill>
                <a:srgbClr val="C0C0C0"/>
              </a:solidFill>
              <a:prstDash val="solid"/>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65160627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Analysis!$C$106</c:f>
              <c:strCache>
                <c:ptCount val="1"/>
                <c:pt idx="0">
                  <c:v>2019</c:v>
                </c:pt>
              </c:strCache>
            </c:strRef>
          </c:tx>
          <c:spPr>
            <a:solidFill>
              <a:srgbClr val="000080"/>
            </a:solidFill>
            <a:ln w="25400">
              <a:noFill/>
            </a:ln>
            <a:effectLst/>
          </c:spPr>
          <c:invertIfNegative val="0"/>
          <c:cat>
            <c:strRef>
              <c:f>Analysis!$B$107:$B$110</c:f>
              <c:strCache>
                <c:ptCount val="4"/>
                <c:pt idx="0">
                  <c:v>Europe</c:v>
                </c:pt>
                <c:pt idx="1">
                  <c:v>North America</c:v>
                </c:pt>
                <c:pt idx="2">
                  <c:v>Asia Pacific</c:v>
                </c:pt>
                <c:pt idx="3">
                  <c:v>Latin America</c:v>
                </c:pt>
              </c:strCache>
            </c:strRef>
          </c:cat>
          <c:val>
            <c:numRef>
              <c:f>Analysis!$C$107:$C$110</c:f>
              <c:numCache>
                <c:formatCode>General</c:formatCode>
                <c:ptCount val="4"/>
                <c:pt idx="0">
                  <c:v>348</c:v>
                </c:pt>
                <c:pt idx="1">
                  <c:v>80</c:v>
                </c:pt>
                <c:pt idx="2">
                  <c:v>54</c:v>
                </c:pt>
                <c:pt idx="3">
                  <c:v>50</c:v>
                </c:pt>
              </c:numCache>
            </c:numRef>
          </c:val>
          <c:extLst>
            <c:ext xmlns:c16="http://schemas.microsoft.com/office/drawing/2014/chart" uri="{C3380CC4-5D6E-409C-BE32-E72D297353CC}">
              <c16:uniqueId val="{00000000-9660-499C-8BE4-7C2A6F7A1FAA}"/>
            </c:ext>
          </c:extLst>
        </c:ser>
        <c:ser>
          <c:idx val="1"/>
          <c:order val="1"/>
          <c:tx>
            <c:strRef>
              <c:f>Analysis!$D$106</c:f>
              <c:strCache>
                <c:ptCount val="1"/>
                <c:pt idx="0">
                  <c:v>2020</c:v>
                </c:pt>
              </c:strCache>
            </c:strRef>
          </c:tx>
          <c:spPr>
            <a:solidFill>
              <a:srgbClr val="9999FF"/>
            </a:solidFill>
            <a:ln w="25400">
              <a:noFill/>
            </a:ln>
            <a:effectLst/>
          </c:spPr>
          <c:invertIfNegative val="0"/>
          <c:cat>
            <c:strRef>
              <c:f>Analysis!$B$107:$B$110</c:f>
              <c:strCache>
                <c:ptCount val="4"/>
                <c:pt idx="0">
                  <c:v>Europe</c:v>
                </c:pt>
                <c:pt idx="1">
                  <c:v>North America</c:v>
                </c:pt>
                <c:pt idx="2">
                  <c:v>Asia Pacific</c:v>
                </c:pt>
                <c:pt idx="3">
                  <c:v>Latin America</c:v>
                </c:pt>
              </c:strCache>
            </c:strRef>
          </c:cat>
          <c:val>
            <c:numRef>
              <c:f>Analysis!$D$107:$D$110</c:f>
              <c:numCache>
                <c:formatCode>General</c:formatCode>
                <c:ptCount val="4"/>
                <c:pt idx="0">
                  <c:v>425</c:v>
                </c:pt>
                <c:pt idx="1">
                  <c:v>133</c:v>
                </c:pt>
                <c:pt idx="2">
                  <c:v>65</c:v>
                </c:pt>
                <c:pt idx="3">
                  <c:v>60</c:v>
                </c:pt>
              </c:numCache>
            </c:numRef>
          </c:val>
          <c:extLst>
            <c:ext xmlns:c16="http://schemas.microsoft.com/office/drawing/2014/chart" uri="{C3380CC4-5D6E-409C-BE32-E72D297353CC}">
              <c16:uniqueId val="{00000001-9660-499C-8BE4-7C2A6F7A1FAA}"/>
            </c:ext>
          </c:extLst>
        </c:ser>
        <c:dLbls>
          <c:showLegendKey val="0"/>
          <c:showVal val="0"/>
          <c:showCatName val="0"/>
          <c:showSerName val="0"/>
          <c:showPercent val="0"/>
          <c:showBubbleSize val="0"/>
        </c:dLbls>
        <c:gapWidth val="219"/>
        <c:overlap val="-27"/>
        <c:axId val="914971832"/>
        <c:axId val="914969536"/>
      </c:barChart>
      <c:catAx>
        <c:axId val="91497183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914969536"/>
        <c:crosses val="autoZero"/>
        <c:auto val="1"/>
        <c:lblAlgn val="ctr"/>
        <c:lblOffset val="100"/>
        <c:noMultiLvlLbl val="0"/>
      </c:catAx>
      <c:valAx>
        <c:axId val="914969536"/>
        <c:scaling>
          <c:orientation val="minMax"/>
        </c:scaling>
        <c:delete val="0"/>
        <c:axPos val="l"/>
        <c:majorGridlines>
          <c:spPr>
            <a:ln w="3175" cap="flat" cmpd="sng" algn="ctr">
              <a:solidFill>
                <a:srgbClr val="C0C0C0"/>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r>
                  <a:rPr lang="en-US"/>
                  <a:t>EUR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title>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crossAx val="914971832"/>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Master!A1"/><Relationship Id="rId2" Type="http://schemas.openxmlformats.org/officeDocument/2006/relationships/image" Target="../media/image1.png"/><Relationship Id="rId1" Type="http://schemas.openxmlformats.org/officeDocument/2006/relationships/hyperlink" Target="http://www.newstreetresearch.com/" TargetMode="External"/><Relationship Id="rId5" Type="http://schemas.openxmlformats.org/officeDocument/2006/relationships/hyperlink" Target="#Valuation!A1"/><Relationship Id="rId4" Type="http://schemas.openxmlformats.org/officeDocument/2006/relationships/hyperlink" Target="#Quarts!A1"/></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3" Type="http://schemas.openxmlformats.org/officeDocument/2006/relationships/chart" Target="../charts/chart15.xml"/><Relationship Id="rId18" Type="http://schemas.openxmlformats.org/officeDocument/2006/relationships/chart" Target="../charts/chart20.xml"/><Relationship Id="rId26" Type="http://schemas.openxmlformats.org/officeDocument/2006/relationships/chart" Target="../charts/chart28.xml"/><Relationship Id="rId39" Type="http://schemas.openxmlformats.org/officeDocument/2006/relationships/chart" Target="../charts/chart41.xml"/><Relationship Id="rId21" Type="http://schemas.openxmlformats.org/officeDocument/2006/relationships/chart" Target="../charts/chart23.xml"/><Relationship Id="rId34" Type="http://schemas.openxmlformats.org/officeDocument/2006/relationships/chart" Target="../charts/chart36.xml"/><Relationship Id="rId42" Type="http://schemas.openxmlformats.org/officeDocument/2006/relationships/chart" Target="../charts/chart44.xml"/><Relationship Id="rId7" Type="http://schemas.openxmlformats.org/officeDocument/2006/relationships/chart" Target="../charts/chart9.xml"/><Relationship Id="rId2" Type="http://schemas.openxmlformats.org/officeDocument/2006/relationships/chart" Target="../charts/chart4.xml"/><Relationship Id="rId16" Type="http://schemas.openxmlformats.org/officeDocument/2006/relationships/chart" Target="../charts/chart18.xml"/><Relationship Id="rId29" Type="http://schemas.openxmlformats.org/officeDocument/2006/relationships/chart" Target="../charts/chart31.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24" Type="http://schemas.openxmlformats.org/officeDocument/2006/relationships/chart" Target="../charts/chart26.xml"/><Relationship Id="rId32" Type="http://schemas.openxmlformats.org/officeDocument/2006/relationships/chart" Target="../charts/chart34.xml"/><Relationship Id="rId37" Type="http://schemas.openxmlformats.org/officeDocument/2006/relationships/chart" Target="../charts/chart39.xml"/><Relationship Id="rId40" Type="http://schemas.openxmlformats.org/officeDocument/2006/relationships/chart" Target="../charts/chart42.xml"/><Relationship Id="rId45" Type="http://schemas.openxmlformats.org/officeDocument/2006/relationships/chart" Target="../charts/chart47.xml"/><Relationship Id="rId5" Type="http://schemas.openxmlformats.org/officeDocument/2006/relationships/chart" Target="../charts/chart7.xml"/><Relationship Id="rId15" Type="http://schemas.openxmlformats.org/officeDocument/2006/relationships/chart" Target="../charts/chart17.xml"/><Relationship Id="rId23" Type="http://schemas.openxmlformats.org/officeDocument/2006/relationships/chart" Target="../charts/chart25.xml"/><Relationship Id="rId28" Type="http://schemas.openxmlformats.org/officeDocument/2006/relationships/chart" Target="../charts/chart30.xml"/><Relationship Id="rId36" Type="http://schemas.openxmlformats.org/officeDocument/2006/relationships/chart" Target="../charts/chart38.xml"/><Relationship Id="rId10" Type="http://schemas.openxmlformats.org/officeDocument/2006/relationships/chart" Target="../charts/chart12.xml"/><Relationship Id="rId19" Type="http://schemas.openxmlformats.org/officeDocument/2006/relationships/chart" Target="../charts/chart21.xml"/><Relationship Id="rId31" Type="http://schemas.openxmlformats.org/officeDocument/2006/relationships/chart" Target="../charts/chart33.xml"/><Relationship Id="rId44" Type="http://schemas.openxmlformats.org/officeDocument/2006/relationships/chart" Target="../charts/chart46.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 Id="rId22" Type="http://schemas.openxmlformats.org/officeDocument/2006/relationships/chart" Target="../charts/chart24.xml"/><Relationship Id="rId27" Type="http://schemas.openxmlformats.org/officeDocument/2006/relationships/chart" Target="../charts/chart29.xml"/><Relationship Id="rId30" Type="http://schemas.openxmlformats.org/officeDocument/2006/relationships/chart" Target="../charts/chart32.xml"/><Relationship Id="rId35" Type="http://schemas.openxmlformats.org/officeDocument/2006/relationships/chart" Target="../charts/chart37.xml"/><Relationship Id="rId43" Type="http://schemas.openxmlformats.org/officeDocument/2006/relationships/chart" Target="../charts/chart45.xml"/><Relationship Id="rId8" Type="http://schemas.openxmlformats.org/officeDocument/2006/relationships/chart" Target="../charts/chart10.xml"/><Relationship Id="rId3" Type="http://schemas.openxmlformats.org/officeDocument/2006/relationships/chart" Target="../charts/chart5.xml"/><Relationship Id="rId12" Type="http://schemas.openxmlformats.org/officeDocument/2006/relationships/chart" Target="../charts/chart14.xml"/><Relationship Id="rId17" Type="http://schemas.openxmlformats.org/officeDocument/2006/relationships/chart" Target="../charts/chart19.xml"/><Relationship Id="rId25" Type="http://schemas.openxmlformats.org/officeDocument/2006/relationships/chart" Target="../charts/chart27.xml"/><Relationship Id="rId33" Type="http://schemas.openxmlformats.org/officeDocument/2006/relationships/chart" Target="../charts/chart35.xml"/><Relationship Id="rId38" Type="http://schemas.openxmlformats.org/officeDocument/2006/relationships/chart" Target="../charts/chart40.xml"/><Relationship Id="rId20" Type="http://schemas.openxmlformats.org/officeDocument/2006/relationships/chart" Target="../charts/chart22.xml"/><Relationship Id="rId4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18" Type="http://schemas.openxmlformats.org/officeDocument/2006/relationships/chart" Target="../charts/chart66.xml"/><Relationship Id="rId3" Type="http://schemas.openxmlformats.org/officeDocument/2006/relationships/chart" Target="../charts/chart51.xml"/><Relationship Id="rId7" Type="http://schemas.openxmlformats.org/officeDocument/2006/relationships/chart" Target="../charts/chart55.xml"/><Relationship Id="rId12" Type="http://schemas.openxmlformats.org/officeDocument/2006/relationships/chart" Target="../charts/chart60.xml"/><Relationship Id="rId17" Type="http://schemas.openxmlformats.org/officeDocument/2006/relationships/chart" Target="../charts/chart65.xml"/><Relationship Id="rId2" Type="http://schemas.openxmlformats.org/officeDocument/2006/relationships/chart" Target="../charts/chart50.xml"/><Relationship Id="rId16" Type="http://schemas.openxmlformats.org/officeDocument/2006/relationships/chart" Target="../charts/chart64.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5" Type="http://schemas.openxmlformats.org/officeDocument/2006/relationships/chart" Target="../charts/chart53.xml"/><Relationship Id="rId15" Type="http://schemas.openxmlformats.org/officeDocument/2006/relationships/chart" Target="../charts/chart63.xml"/><Relationship Id="rId10" Type="http://schemas.openxmlformats.org/officeDocument/2006/relationships/chart" Target="../charts/chart58.xml"/><Relationship Id="rId19" Type="http://schemas.openxmlformats.org/officeDocument/2006/relationships/chart" Target="../charts/chart67.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4</xdr:col>
      <xdr:colOff>207645</xdr:colOff>
      <xdr:row>5</xdr:row>
      <xdr:rowOff>0</xdr:rowOff>
    </xdr:to>
    <xdr:pic>
      <xdr:nvPicPr>
        <xdr:cNvPr id="3" name="Picture 2" descr="signature_534858453">
          <a:hlinkClick xmlns:r="http://schemas.openxmlformats.org/officeDocument/2006/relationships" r:id="rId1"/>
          <a:extLst>
            <a:ext uri="{FF2B5EF4-FFF2-40B4-BE49-F238E27FC236}">
              <a16:creationId xmlns:a16="http://schemas.microsoft.com/office/drawing/2014/main" id="{DAD3D551-F593-4773-AE9B-AB0D12EF21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0"/>
          <a:ext cx="3208020" cy="762000"/>
        </a:xfrm>
        <a:prstGeom prst="rect">
          <a:avLst/>
        </a:prstGeom>
        <a:noFill/>
        <a:ln>
          <a:noFill/>
        </a:ln>
      </xdr:spPr>
    </xdr:pic>
    <xdr:clientData/>
  </xdr:twoCellAnchor>
  <xdr:twoCellAnchor>
    <xdr:from>
      <xdr:col>0</xdr:col>
      <xdr:colOff>676275</xdr:colOff>
      <xdr:row>29</xdr:row>
      <xdr:rowOff>139065</xdr:rowOff>
    </xdr:from>
    <xdr:to>
      <xdr:col>2</xdr:col>
      <xdr:colOff>234315</xdr:colOff>
      <xdr:row>33</xdr:row>
      <xdr:rowOff>62865</xdr:rowOff>
    </xdr:to>
    <xdr:sp macro="" textlink="">
      <xdr:nvSpPr>
        <xdr:cNvPr id="2" name="Rectangle 1">
          <a:hlinkClick xmlns:r="http://schemas.openxmlformats.org/officeDocument/2006/relationships" r:id="rId3"/>
          <a:extLst>
            <a:ext uri="{FF2B5EF4-FFF2-40B4-BE49-F238E27FC236}">
              <a16:creationId xmlns:a16="http://schemas.microsoft.com/office/drawing/2014/main" id="{9A418E48-038F-4E86-8CA7-3CEFDB06F4A5}"/>
            </a:ext>
          </a:extLst>
        </xdr:cNvPr>
        <xdr:cNvSpPr/>
      </xdr:nvSpPr>
      <xdr:spPr>
        <a:xfrm>
          <a:off x="676275" y="4787265"/>
          <a:ext cx="1463040" cy="533400"/>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100"/>
            <a:t>Main model</a:t>
          </a:r>
        </a:p>
      </xdr:txBody>
    </xdr:sp>
    <xdr:clientData/>
  </xdr:twoCellAnchor>
  <xdr:twoCellAnchor>
    <xdr:from>
      <xdr:col>3</xdr:col>
      <xdr:colOff>62865</xdr:colOff>
      <xdr:row>29</xdr:row>
      <xdr:rowOff>120015</xdr:rowOff>
    </xdr:from>
    <xdr:to>
      <xdr:col>5</xdr:col>
      <xdr:colOff>302895</xdr:colOff>
      <xdr:row>33</xdr:row>
      <xdr:rowOff>43815</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878C7703-342C-4DE4-B215-7C8A58F9AFA7}"/>
            </a:ext>
          </a:extLst>
        </xdr:cNvPr>
        <xdr:cNvSpPr/>
      </xdr:nvSpPr>
      <xdr:spPr>
        <a:xfrm>
          <a:off x="2558415" y="4768215"/>
          <a:ext cx="1421130" cy="533400"/>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100"/>
            <a:t>Interims</a:t>
          </a:r>
        </a:p>
      </xdr:txBody>
    </xdr:sp>
    <xdr:clientData/>
  </xdr:twoCellAnchor>
  <xdr:twoCellAnchor>
    <xdr:from>
      <xdr:col>6</xdr:col>
      <xdr:colOff>266700</xdr:colOff>
      <xdr:row>29</xdr:row>
      <xdr:rowOff>114300</xdr:rowOff>
    </xdr:from>
    <xdr:to>
      <xdr:col>8</xdr:col>
      <xdr:colOff>529590</xdr:colOff>
      <xdr:row>33</xdr:row>
      <xdr:rowOff>38100</xdr:rowOff>
    </xdr:to>
    <xdr:sp macro="" textlink="">
      <xdr:nvSpPr>
        <xdr:cNvPr id="5" name="Rectangle 4">
          <a:hlinkClick xmlns:r="http://schemas.openxmlformats.org/officeDocument/2006/relationships" r:id="rId5"/>
          <a:extLst>
            <a:ext uri="{FF2B5EF4-FFF2-40B4-BE49-F238E27FC236}">
              <a16:creationId xmlns:a16="http://schemas.microsoft.com/office/drawing/2014/main" id="{19153F63-AFF3-421F-AAF5-304BFB0B8D46}"/>
            </a:ext>
          </a:extLst>
        </xdr:cNvPr>
        <xdr:cNvSpPr/>
      </xdr:nvSpPr>
      <xdr:spPr>
        <a:xfrm>
          <a:off x="4533900" y="4762500"/>
          <a:ext cx="1443990" cy="533400"/>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100"/>
            <a:t>Valuation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574726</xdr:colOff>
      <xdr:row>129</xdr:row>
      <xdr:rowOff>139484</xdr:rowOff>
    </xdr:from>
    <xdr:to>
      <xdr:col>43</xdr:col>
      <xdr:colOff>329338</xdr:colOff>
      <xdr:row>140</xdr:row>
      <xdr:rowOff>90407</xdr:rowOff>
    </xdr:to>
    <xdr:graphicFrame macro="">
      <xdr:nvGraphicFramePr>
        <xdr:cNvPr id="2" name="Chart 1">
          <a:extLst>
            <a:ext uri="{FF2B5EF4-FFF2-40B4-BE49-F238E27FC236}">
              <a16:creationId xmlns:a16="http://schemas.microsoft.com/office/drawing/2014/main" id="{B6C14D61-A83C-B13C-8B70-3C5333A79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523068</xdr:colOff>
      <xdr:row>130</xdr:row>
      <xdr:rowOff>52304</xdr:rowOff>
    </xdr:from>
    <xdr:to>
      <xdr:col>53</xdr:col>
      <xdr:colOff>0</xdr:colOff>
      <xdr:row>139</xdr:row>
      <xdr:rowOff>129152</xdr:rowOff>
    </xdr:to>
    <xdr:graphicFrame macro="">
      <xdr:nvGraphicFramePr>
        <xdr:cNvPr id="3" name="Chart 2">
          <a:extLst>
            <a:ext uri="{FF2B5EF4-FFF2-40B4-BE49-F238E27FC236}">
              <a16:creationId xmlns:a16="http://schemas.microsoft.com/office/drawing/2014/main" id="{F2BCBE73-4C9F-0325-495F-576C688DD8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188118</xdr:colOff>
      <xdr:row>27</xdr:row>
      <xdr:rowOff>64293</xdr:rowOff>
    </xdr:from>
    <xdr:to>
      <xdr:col>15</xdr:col>
      <xdr:colOff>614363</xdr:colOff>
      <xdr:row>46</xdr:row>
      <xdr:rowOff>166688</xdr:rowOff>
    </xdr:to>
    <xdr:graphicFrame macro="">
      <xdr:nvGraphicFramePr>
        <xdr:cNvPr id="2" name="Chart 1">
          <a:extLst>
            <a:ext uri="{FF2B5EF4-FFF2-40B4-BE49-F238E27FC236}">
              <a16:creationId xmlns:a16="http://schemas.microsoft.com/office/drawing/2014/main" id="{24651CCD-5C68-4406-9F29-A8E869B0A9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468496</xdr:colOff>
      <xdr:row>49</xdr:row>
      <xdr:rowOff>128222</xdr:rowOff>
    </xdr:from>
    <xdr:to>
      <xdr:col>13</xdr:col>
      <xdr:colOff>166566</xdr:colOff>
      <xdr:row>70</xdr:row>
      <xdr:rowOff>8428</xdr:rowOff>
    </xdr:to>
    <xdr:graphicFrame macro="">
      <xdr:nvGraphicFramePr>
        <xdr:cNvPr id="3" name="Chart 2">
          <a:extLst>
            <a:ext uri="{FF2B5EF4-FFF2-40B4-BE49-F238E27FC236}">
              <a16:creationId xmlns:a16="http://schemas.microsoft.com/office/drawing/2014/main" id="{A24D7F01-1186-4BB7-85C0-94E044B872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335756</xdr:colOff>
      <xdr:row>7</xdr:row>
      <xdr:rowOff>104775</xdr:rowOff>
    </xdr:from>
    <xdr:to>
      <xdr:col>18</xdr:col>
      <xdr:colOff>490538</xdr:colOff>
      <xdr:row>24</xdr:row>
      <xdr:rowOff>78580</xdr:rowOff>
    </xdr:to>
    <xdr:graphicFrame macro="">
      <xdr:nvGraphicFramePr>
        <xdr:cNvPr id="4" name="Chart 3">
          <a:extLst>
            <a:ext uri="{FF2B5EF4-FFF2-40B4-BE49-F238E27FC236}">
              <a16:creationId xmlns:a16="http://schemas.microsoft.com/office/drawing/2014/main" id="{86BC5670-AD2C-435D-A8AE-54C3FF10E0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188119</xdr:colOff>
      <xdr:row>66</xdr:row>
      <xdr:rowOff>147638</xdr:rowOff>
    </xdr:from>
    <xdr:to>
      <xdr:col>6</xdr:col>
      <xdr:colOff>38101</xdr:colOff>
      <xdr:row>81</xdr:row>
      <xdr:rowOff>121443</xdr:rowOff>
    </xdr:to>
    <xdr:graphicFrame macro="">
      <xdr:nvGraphicFramePr>
        <xdr:cNvPr id="5" name="Chart 4">
          <a:extLst>
            <a:ext uri="{FF2B5EF4-FFF2-40B4-BE49-F238E27FC236}">
              <a16:creationId xmlns:a16="http://schemas.microsoft.com/office/drawing/2014/main" id="{56A81756-5AF6-479A-AAE8-3C3BCAC610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592929</xdr:colOff>
      <xdr:row>75</xdr:row>
      <xdr:rowOff>83341</xdr:rowOff>
    </xdr:from>
    <xdr:to>
      <xdr:col>14</xdr:col>
      <xdr:colOff>28574</xdr:colOff>
      <xdr:row>92</xdr:row>
      <xdr:rowOff>23811</xdr:rowOff>
    </xdr:to>
    <xdr:graphicFrame macro="">
      <xdr:nvGraphicFramePr>
        <xdr:cNvPr id="6" name="Chart 5">
          <a:extLst>
            <a:ext uri="{FF2B5EF4-FFF2-40B4-BE49-F238E27FC236}">
              <a16:creationId xmlns:a16="http://schemas.microsoft.com/office/drawing/2014/main" id="{48C325E6-B4D9-4613-A4F7-F1DDC8475B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186836</xdr:colOff>
      <xdr:row>94</xdr:row>
      <xdr:rowOff>78519</xdr:rowOff>
    </xdr:from>
    <xdr:to>
      <xdr:col>14</xdr:col>
      <xdr:colOff>228356</xdr:colOff>
      <xdr:row>110</xdr:row>
      <xdr:rowOff>74123</xdr:rowOff>
    </xdr:to>
    <xdr:graphicFrame macro="">
      <xdr:nvGraphicFramePr>
        <xdr:cNvPr id="7" name="Chart 6">
          <a:extLst>
            <a:ext uri="{FF2B5EF4-FFF2-40B4-BE49-F238E27FC236}">
              <a16:creationId xmlns:a16="http://schemas.microsoft.com/office/drawing/2014/main" id="{0E9C1726-1005-4D30-986F-9D3840C68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467700</xdr:colOff>
      <xdr:row>91</xdr:row>
      <xdr:rowOff>102942</xdr:rowOff>
    </xdr:from>
    <xdr:to>
      <xdr:col>22</xdr:col>
      <xdr:colOff>67163</xdr:colOff>
      <xdr:row>109</xdr:row>
      <xdr:rowOff>61057</xdr:rowOff>
    </xdr:to>
    <xdr:graphicFrame macro="">
      <xdr:nvGraphicFramePr>
        <xdr:cNvPr id="8" name="Chart 7">
          <a:extLst>
            <a:ext uri="{FF2B5EF4-FFF2-40B4-BE49-F238E27FC236}">
              <a16:creationId xmlns:a16="http://schemas.microsoft.com/office/drawing/2014/main" id="{A47899E4-05CF-49BB-A687-A7B9A883CF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595922</xdr:colOff>
      <xdr:row>112</xdr:row>
      <xdr:rowOff>5248</xdr:rowOff>
    </xdr:from>
    <xdr:to>
      <xdr:col>22</xdr:col>
      <xdr:colOff>604471</xdr:colOff>
      <xdr:row>128</xdr:row>
      <xdr:rowOff>177066</xdr:rowOff>
    </xdr:to>
    <xdr:graphicFrame macro="">
      <xdr:nvGraphicFramePr>
        <xdr:cNvPr id="9" name="Chart 8">
          <a:extLst>
            <a:ext uri="{FF2B5EF4-FFF2-40B4-BE49-F238E27FC236}">
              <a16:creationId xmlns:a16="http://schemas.microsoft.com/office/drawing/2014/main" id="{DCDCEEE6-35F6-4ACC-85BB-8476F437B1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272317</xdr:colOff>
      <xdr:row>130</xdr:row>
      <xdr:rowOff>41885</xdr:rowOff>
    </xdr:from>
    <xdr:to>
      <xdr:col>22</xdr:col>
      <xdr:colOff>641105</xdr:colOff>
      <xdr:row>145</xdr:row>
      <xdr:rowOff>37489</xdr:rowOff>
    </xdr:to>
    <xdr:graphicFrame macro="">
      <xdr:nvGraphicFramePr>
        <xdr:cNvPr id="10" name="Chart 9">
          <a:extLst>
            <a:ext uri="{FF2B5EF4-FFF2-40B4-BE49-F238E27FC236}">
              <a16:creationId xmlns:a16="http://schemas.microsoft.com/office/drawing/2014/main" id="{4B6C3C77-D430-44FE-B88C-E8DAEF171F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132</xdr:row>
      <xdr:rowOff>0</xdr:rowOff>
    </xdr:from>
    <xdr:to>
      <xdr:col>11</xdr:col>
      <xdr:colOff>368788</xdr:colOff>
      <xdr:row>146</xdr:row>
      <xdr:rowOff>178776</xdr:rowOff>
    </xdr:to>
    <xdr:graphicFrame macro="">
      <xdr:nvGraphicFramePr>
        <xdr:cNvPr id="11" name="Chart 10">
          <a:extLst>
            <a:ext uri="{FF2B5EF4-FFF2-40B4-BE49-F238E27FC236}">
              <a16:creationId xmlns:a16="http://schemas.microsoft.com/office/drawing/2014/main" id="{2C71A782-CD5A-4DEE-9C56-20B4754D44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162412</xdr:colOff>
      <xdr:row>152</xdr:row>
      <xdr:rowOff>60202</xdr:rowOff>
    </xdr:from>
    <xdr:to>
      <xdr:col>11</xdr:col>
      <xdr:colOff>203931</xdr:colOff>
      <xdr:row>167</xdr:row>
      <xdr:rowOff>55806</xdr:rowOff>
    </xdr:to>
    <xdr:graphicFrame macro="">
      <xdr:nvGraphicFramePr>
        <xdr:cNvPr id="13" name="Chart 12">
          <a:extLst>
            <a:ext uri="{FF2B5EF4-FFF2-40B4-BE49-F238E27FC236}">
              <a16:creationId xmlns:a16="http://schemas.microsoft.com/office/drawing/2014/main" id="{527C8E3A-4BB7-4EF1-A245-E5ABEF8C02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272316</xdr:colOff>
      <xdr:row>47</xdr:row>
      <xdr:rowOff>176210</xdr:rowOff>
    </xdr:from>
    <xdr:to>
      <xdr:col>20</xdr:col>
      <xdr:colOff>592259</xdr:colOff>
      <xdr:row>63</xdr:row>
      <xdr:rowOff>134326</xdr:rowOff>
    </xdr:to>
    <xdr:graphicFrame macro="">
      <xdr:nvGraphicFramePr>
        <xdr:cNvPr id="14" name="Chart 13">
          <a:extLst>
            <a:ext uri="{FF2B5EF4-FFF2-40B4-BE49-F238E27FC236}">
              <a16:creationId xmlns:a16="http://schemas.microsoft.com/office/drawing/2014/main" id="{359A63C7-95A5-4D40-9BCF-6515ECCBDB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3663</xdr:colOff>
      <xdr:row>156</xdr:row>
      <xdr:rowOff>23567</xdr:rowOff>
    </xdr:from>
    <xdr:to>
      <xdr:col>21</xdr:col>
      <xdr:colOff>152644</xdr:colOff>
      <xdr:row>172</xdr:row>
      <xdr:rowOff>18317</xdr:rowOff>
    </xdr:to>
    <xdr:graphicFrame macro="">
      <xdr:nvGraphicFramePr>
        <xdr:cNvPr id="12" name="Chart 11">
          <a:extLst>
            <a:ext uri="{FF2B5EF4-FFF2-40B4-BE49-F238E27FC236}">
              <a16:creationId xmlns:a16="http://schemas.microsoft.com/office/drawing/2014/main" id="{9EB12A1C-5056-4722-B3E7-2E92A1D142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424960</xdr:colOff>
      <xdr:row>171</xdr:row>
      <xdr:rowOff>78519</xdr:rowOff>
    </xdr:from>
    <xdr:to>
      <xdr:col>14</xdr:col>
      <xdr:colOff>348029</xdr:colOff>
      <xdr:row>190</xdr:row>
      <xdr:rowOff>152645</xdr:rowOff>
    </xdr:to>
    <xdr:graphicFrame macro="">
      <xdr:nvGraphicFramePr>
        <xdr:cNvPr id="15" name="Chart 14">
          <a:extLst>
            <a:ext uri="{FF2B5EF4-FFF2-40B4-BE49-F238E27FC236}">
              <a16:creationId xmlns:a16="http://schemas.microsoft.com/office/drawing/2014/main" id="{0F79A7DC-49E6-4242-86B2-56583A9C90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504336</xdr:colOff>
      <xdr:row>197</xdr:row>
      <xdr:rowOff>133471</xdr:rowOff>
    </xdr:from>
    <xdr:to>
      <xdr:col>12</xdr:col>
      <xdr:colOff>470144</xdr:colOff>
      <xdr:row>214</xdr:row>
      <xdr:rowOff>36635</xdr:rowOff>
    </xdr:to>
    <xdr:graphicFrame macro="">
      <xdr:nvGraphicFramePr>
        <xdr:cNvPr id="16" name="Chart 15">
          <a:extLst>
            <a:ext uri="{FF2B5EF4-FFF2-40B4-BE49-F238E27FC236}">
              <a16:creationId xmlns:a16="http://schemas.microsoft.com/office/drawing/2014/main" id="{BF3F6D8B-B794-4728-A70D-3DC6D2874B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73269</xdr:colOff>
      <xdr:row>241</xdr:row>
      <xdr:rowOff>61057</xdr:rowOff>
    </xdr:from>
    <xdr:to>
      <xdr:col>18</xdr:col>
      <xdr:colOff>451827</xdr:colOff>
      <xdr:row>258</xdr:row>
      <xdr:rowOff>140430</xdr:rowOff>
    </xdr:to>
    <xdr:graphicFrame macro="">
      <xdr:nvGraphicFramePr>
        <xdr:cNvPr id="18" name="Chart 17">
          <a:extLst>
            <a:ext uri="{FF2B5EF4-FFF2-40B4-BE49-F238E27FC236}">
              <a16:creationId xmlns:a16="http://schemas.microsoft.com/office/drawing/2014/main" id="{180B9CA1-3A1B-4A51-8CBE-DFA1C2EEB7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39077</xdr:colOff>
      <xdr:row>261</xdr:row>
      <xdr:rowOff>113324</xdr:rowOff>
    </xdr:from>
    <xdr:to>
      <xdr:col>17</xdr:col>
      <xdr:colOff>234461</xdr:colOff>
      <xdr:row>277</xdr:row>
      <xdr:rowOff>87923</xdr:rowOff>
    </xdr:to>
    <xdr:graphicFrame macro="">
      <xdr:nvGraphicFramePr>
        <xdr:cNvPr id="17" name="Chart 16">
          <a:extLst>
            <a:ext uri="{FF2B5EF4-FFF2-40B4-BE49-F238E27FC236}">
              <a16:creationId xmlns:a16="http://schemas.microsoft.com/office/drawing/2014/main" id="{D4BA8B4A-61C1-47B7-A5EE-7D0EC1D1FF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327268</xdr:colOff>
      <xdr:row>280</xdr:row>
      <xdr:rowOff>84624</xdr:rowOff>
    </xdr:from>
    <xdr:to>
      <xdr:col>11</xdr:col>
      <xdr:colOff>85481</xdr:colOff>
      <xdr:row>295</xdr:row>
      <xdr:rowOff>80228</xdr:rowOff>
    </xdr:to>
    <xdr:graphicFrame macro="">
      <xdr:nvGraphicFramePr>
        <xdr:cNvPr id="19" name="Chart 18">
          <a:extLst>
            <a:ext uri="{FF2B5EF4-FFF2-40B4-BE49-F238E27FC236}">
              <a16:creationId xmlns:a16="http://schemas.microsoft.com/office/drawing/2014/main" id="{029F5C01-A115-4244-871B-141593CAF4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162412</xdr:colOff>
      <xdr:row>293</xdr:row>
      <xdr:rowOff>115153</xdr:rowOff>
    </xdr:from>
    <xdr:to>
      <xdr:col>19</xdr:col>
      <xdr:colOff>183173</xdr:colOff>
      <xdr:row>313</xdr:row>
      <xdr:rowOff>30530</xdr:rowOff>
    </xdr:to>
    <xdr:graphicFrame macro="">
      <xdr:nvGraphicFramePr>
        <xdr:cNvPr id="20" name="Chart 19">
          <a:extLst>
            <a:ext uri="{FF2B5EF4-FFF2-40B4-BE49-F238E27FC236}">
              <a16:creationId xmlns:a16="http://schemas.microsoft.com/office/drawing/2014/main" id="{64161FFD-A3B5-412B-AF1B-33313FD491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323</xdr:row>
      <xdr:rowOff>54096</xdr:rowOff>
    </xdr:from>
    <xdr:to>
      <xdr:col>13</xdr:col>
      <xdr:colOff>24422</xdr:colOff>
      <xdr:row>338</xdr:row>
      <xdr:rowOff>49700</xdr:rowOff>
    </xdr:to>
    <xdr:graphicFrame macro="">
      <xdr:nvGraphicFramePr>
        <xdr:cNvPr id="21" name="Chart 20">
          <a:extLst>
            <a:ext uri="{FF2B5EF4-FFF2-40B4-BE49-F238E27FC236}">
              <a16:creationId xmlns:a16="http://schemas.microsoft.com/office/drawing/2014/main" id="{89F82353-8548-497D-B465-32F1CA50F9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339</xdr:row>
      <xdr:rowOff>146538</xdr:rowOff>
    </xdr:from>
    <xdr:to>
      <xdr:col>12</xdr:col>
      <xdr:colOff>631336</xdr:colOff>
      <xdr:row>355</xdr:row>
      <xdr:rowOff>142142</xdr:rowOff>
    </xdr:to>
    <xdr:graphicFrame macro="">
      <xdr:nvGraphicFramePr>
        <xdr:cNvPr id="22" name="Chart 21">
          <a:extLst>
            <a:ext uri="{FF2B5EF4-FFF2-40B4-BE49-F238E27FC236}">
              <a16:creationId xmlns:a16="http://schemas.microsoft.com/office/drawing/2014/main" id="{93D51212-1FF1-4130-BC83-D30DF2D82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13</xdr:col>
      <xdr:colOff>246733</xdr:colOff>
      <xdr:row>314</xdr:row>
      <xdr:rowOff>57379</xdr:rowOff>
    </xdr:from>
    <xdr:to>
      <xdr:col>20</xdr:col>
      <xdr:colOff>267493</xdr:colOff>
      <xdr:row>333</xdr:row>
      <xdr:rowOff>143449</xdr:rowOff>
    </xdr:to>
    <xdr:graphicFrame macro="">
      <xdr:nvGraphicFramePr>
        <xdr:cNvPr id="23" name="Chart 22">
          <a:extLst>
            <a:ext uri="{FF2B5EF4-FFF2-40B4-BE49-F238E27FC236}">
              <a16:creationId xmlns:a16="http://schemas.microsoft.com/office/drawing/2014/main" id="{5AE8370C-C055-4993-9314-F042E6FAA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553720</xdr:colOff>
      <xdr:row>363</xdr:row>
      <xdr:rowOff>106680</xdr:rowOff>
    </xdr:from>
    <xdr:to>
      <xdr:col>20</xdr:col>
      <xdr:colOff>45720</xdr:colOff>
      <xdr:row>393</xdr:row>
      <xdr:rowOff>25400</xdr:rowOff>
    </xdr:to>
    <xdr:graphicFrame macro="">
      <xdr:nvGraphicFramePr>
        <xdr:cNvPr id="24" name="Chart 23">
          <a:extLst>
            <a:ext uri="{FF2B5EF4-FFF2-40B4-BE49-F238E27FC236}">
              <a16:creationId xmlns:a16="http://schemas.microsoft.com/office/drawing/2014/main" id="{F6669DB2-39AE-4AA6-9389-A6D8C4A372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106680</xdr:colOff>
      <xdr:row>395</xdr:row>
      <xdr:rowOff>0</xdr:rowOff>
    </xdr:from>
    <xdr:to>
      <xdr:col>16</xdr:col>
      <xdr:colOff>614680</xdr:colOff>
      <xdr:row>412</xdr:row>
      <xdr:rowOff>147320</xdr:rowOff>
    </xdr:to>
    <xdr:graphicFrame macro="">
      <xdr:nvGraphicFramePr>
        <xdr:cNvPr id="25" name="Chart 24">
          <a:extLst>
            <a:ext uri="{FF2B5EF4-FFF2-40B4-BE49-F238E27FC236}">
              <a16:creationId xmlns:a16="http://schemas.microsoft.com/office/drawing/2014/main" id="{FC35AE49-6252-423D-AD9D-801ED48870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18</xdr:col>
      <xdr:colOff>0</xdr:colOff>
      <xdr:row>395</xdr:row>
      <xdr:rowOff>0</xdr:rowOff>
    </xdr:from>
    <xdr:to>
      <xdr:col>24</xdr:col>
      <xdr:colOff>508000</xdr:colOff>
      <xdr:row>412</xdr:row>
      <xdr:rowOff>147320</xdr:rowOff>
    </xdr:to>
    <xdr:graphicFrame macro="">
      <xdr:nvGraphicFramePr>
        <xdr:cNvPr id="26" name="Chart 25">
          <a:extLst>
            <a:ext uri="{FF2B5EF4-FFF2-40B4-BE49-F238E27FC236}">
              <a16:creationId xmlns:a16="http://schemas.microsoft.com/office/drawing/2014/main" id="{C1008C62-52B3-455D-9414-FC9BB6DB0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66040</xdr:colOff>
      <xdr:row>414</xdr:row>
      <xdr:rowOff>147320</xdr:rowOff>
    </xdr:from>
    <xdr:to>
      <xdr:col>13</xdr:col>
      <xdr:colOff>502920</xdr:colOff>
      <xdr:row>432</xdr:row>
      <xdr:rowOff>152400</xdr:rowOff>
    </xdr:to>
    <xdr:graphicFrame macro="">
      <xdr:nvGraphicFramePr>
        <xdr:cNvPr id="27" name="Chart 26">
          <a:extLst>
            <a:ext uri="{FF2B5EF4-FFF2-40B4-BE49-F238E27FC236}">
              <a16:creationId xmlns:a16="http://schemas.microsoft.com/office/drawing/2014/main" id="{690B61BA-4DE1-41B1-8877-7724AEC7C0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xdr:col>
      <xdr:colOff>167640</xdr:colOff>
      <xdr:row>470</xdr:row>
      <xdr:rowOff>139700</xdr:rowOff>
    </xdr:from>
    <xdr:to>
      <xdr:col>9</xdr:col>
      <xdr:colOff>497840</xdr:colOff>
      <xdr:row>489</xdr:row>
      <xdr:rowOff>15240</xdr:rowOff>
    </xdr:to>
    <xdr:graphicFrame macro="">
      <xdr:nvGraphicFramePr>
        <xdr:cNvPr id="28" name="Chart 27">
          <a:extLst>
            <a:ext uri="{FF2B5EF4-FFF2-40B4-BE49-F238E27FC236}">
              <a16:creationId xmlns:a16="http://schemas.microsoft.com/office/drawing/2014/main" id="{687E54DB-EA0B-75E5-6A8F-3CF6E3C79B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0</xdr:colOff>
      <xdr:row>471</xdr:row>
      <xdr:rowOff>0</xdr:rowOff>
    </xdr:from>
    <xdr:to>
      <xdr:col>17</xdr:col>
      <xdr:colOff>330200</xdr:colOff>
      <xdr:row>489</xdr:row>
      <xdr:rowOff>58420</xdr:rowOff>
    </xdr:to>
    <xdr:graphicFrame macro="">
      <xdr:nvGraphicFramePr>
        <xdr:cNvPr id="29" name="Chart 28">
          <a:extLst>
            <a:ext uri="{FF2B5EF4-FFF2-40B4-BE49-F238E27FC236}">
              <a16:creationId xmlns:a16="http://schemas.microsoft.com/office/drawing/2014/main" id="{2495AFD2-74B7-4FEC-B282-7EEEDC569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14</xdr:col>
      <xdr:colOff>91440</xdr:colOff>
      <xdr:row>502</xdr:row>
      <xdr:rowOff>25400</xdr:rowOff>
    </xdr:from>
    <xdr:to>
      <xdr:col>21</xdr:col>
      <xdr:colOff>447040</xdr:colOff>
      <xdr:row>525</xdr:row>
      <xdr:rowOff>91440</xdr:rowOff>
    </xdr:to>
    <xdr:graphicFrame macro="">
      <xdr:nvGraphicFramePr>
        <xdr:cNvPr id="30" name="Chart 29">
          <a:extLst>
            <a:ext uri="{FF2B5EF4-FFF2-40B4-BE49-F238E27FC236}">
              <a16:creationId xmlns:a16="http://schemas.microsoft.com/office/drawing/2014/main" id="{F1F34CE4-70C7-2DAE-ACFA-998F079D5C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xdr:col>
      <xdr:colOff>365760</xdr:colOff>
      <xdr:row>529</xdr:row>
      <xdr:rowOff>38100</xdr:rowOff>
    </xdr:from>
    <xdr:to>
      <xdr:col>16</xdr:col>
      <xdr:colOff>218440</xdr:colOff>
      <xdr:row>544</xdr:row>
      <xdr:rowOff>38100</xdr:rowOff>
    </xdr:to>
    <xdr:graphicFrame macro="">
      <xdr:nvGraphicFramePr>
        <xdr:cNvPr id="31" name="Chart 30">
          <a:extLst>
            <a:ext uri="{FF2B5EF4-FFF2-40B4-BE49-F238E27FC236}">
              <a16:creationId xmlns:a16="http://schemas.microsoft.com/office/drawing/2014/main" id="{4A865F9B-6736-2ACE-E3F1-1A0799022E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xdr:col>
      <xdr:colOff>325120</xdr:colOff>
      <xdr:row>584</xdr:row>
      <xdr:rowOff>43180</xdr:rowOff>
    </xdr:from>
    <xdr:to>
      <xdr:col>9</xdr:col>
      <xdr:colOff>431800</xdr:colOff>
      <xdr:row>599</xdr:row>
      <xdr:rowOff>43180</xdr:rowOff>
    </xdr:to>
    <xdr:graphicFrame macro="">
      <xdr:nvGraphicFramePr>
        <xdr:cNvPr id="34" name="Chart 33">
          <a:extLst>
            <a:ext uri="{FF2B5EF4-FFF2-40B4-BE49-F238E27FC236}">
              <a16:creationId xmlns:a16="http://schemas.microsoft.com/office/drawing/2014/main" id="{95DDB909-001D-694A-87CE-9DB265435C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12</xdr:col>
      <xdr:colOff>0</xdr:colOff>
      <xdr:row>584</xdr:row>
      <xdr:rowOff>0</xdr:rowOff>
    </xdr:from>
    <xdr:to>
      <xdr:col>19</xdr:col>
      <xdr:colOff>91440</xdr:colOff>
      <xdr:row>599</xdr:row>
      <xdr:rowOff>0</xdr:rowOff>
    </xdr:to>
    <xdr:graphicFrame macro="">
      <xdr:nvGraphicFramePr>
        <xdr:cNvPr id="35" name="Chart 34">
          <a:extLst>
            <a:ext uri="{FF2B5EF4-FFF2-40B4-BE49-F238E27FC236}">
              <a16:creationId xmlns:a16="http://schemas.microsoft.com/office/drawing/2014/main" id="{05BE8545-5D39-41DF-9EF9-BCC08DECA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xdr:col>
      <xdr:colOff>30480</xdr:colOff>
      <xdr:row>605</xdr:row>
      <xdr:rowOff>124460</xdr:rowOff>
    </xdr:from>
    <xdr:to>
      <xdr:col>9</xdr:col>
      <xdr:colOff>309880</xdr:colOff>
      <xdr:row>621</xdr:row>
      <xdr:rowOff>172720</xdr:rowOff>
    </xdr:to>
    <xdr:graphicFrame macro="">
      <xdr:nvGraphicFramePr>
        <xdr:cNvPr id="36" name="Chart 35">
          <a:extLst>
            <a:ext uri="{FF2B5EF4-FFF2-40B4-BE49-F238E27FC236}">
              <a16:creationId xmlns:a16="http://schemas.microsoft.com/office/drawing/2014/main" id="{0B18CD61-E82A-3266-66A1-4D110E5EF8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416560</xdr:colOff>
      <xdr:row>627</xdr:row>
      <xdr:rowOff>109220</xdr:rowOff>
    </xdr:from>
    <xdr:to>
      <xdr:col>14</xdr:col>
      <xdr:colOff>482600</xdr:colOff>
      <xdr:row>645</xdr:row>
      <xdr:rowOff>20320</xdr:rowOff>
    </xdr:to>
    <xdr:graphicFrame macro="">
      <xdr:nvGraphicFramePr>
        <xdr:cNvPr id="37" name="Chart 36">
          <a:extLst>
            <a:ext uri="{FF2B5EF4-FFF2-40B4-BE49-F238E27FC236}">
              <a16:creationId xmlns:a16="http://schemas.microsoft.com/office/drawing/2014/main" id="{C868864A-1DD4-1D68-358F-AC2508F910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40640</xdr:colOff>
      <xdr:row>654</xdr:row>
      <xdr:rowOff>58420</xdr:rowOff>
    </xdr:from>
    <xdr:to>
      <xdr:col>11</xdr:col>
      <xdr:colOff>208280</xdr:colOff>
      <xdr:row>670</xdr:row>
      <xdr:rowOff>55880</xdr:rowOff>
    </xdr:to>
    <xdr:graphicFrame macro="">
      <xdr:nvGraphicFramePr>
        <xdr:cNvPr id="32" name="Chart 31">
          <a:extLst>
            <a:ext uri="{FF2B5EF4-FFF2-40B4-BE49-F238E27FC236}">
              <a16:creationId xmlns:a16="http://schemas.microsoft.com/office/drawing/2014/main" id="{5F3E8387-70DB-54D0-95FA-1AAD70177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8</xdr:col>
      <xdr:colOff>15240</xdr:colOff>
      <xdr:row>708</xdr:row>
      <xdr:rowOff>25400</xdr:rowOff>
    </xdr:from>
    <xdr:to>
      <xdr:col>15</xdr:col>
      <xdr:colOff>106680</xdr:colOff>
      <xdr:row>723</xdr:row>
      <xdr:rowOff>25400</xdr:rowOff>
    </xdr:to>
    <xdr:graphicFrame macro="">
      <xdr:nvGraphicFramePr>
        <xdr:cNvPr id="33" name="Chart 32">
          <a:extLst>
            <a:ext uri="{FF2B5EF4-FFF2-40B4-BE49-F238E27FC236}">
              <a16:creationId xmlns:a16="http://schemas.microsoft.com/office/drawing/2014/main" id="{DE7F3CFC-9181-CE9D-9964-78B84A0EB8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10</xdr:col>
      <xdr:colOff>472440</xdr:colOff>
      <xdr:row>724</xdr:row>
      <xdr:rowOff>60960</xdr:rowOff>
    </xdr:from>
    <xdr:to>
      <xdr:col>17</xdr:col>
      <xdr:colOff>563880</xdr:colOff>
      <xdr:row>739</xdr:row>
      <xdr:rowOff>60960</xdr:rowOff>
    </xdr:to>
    <xdr:graphicFrame macro="">
      <xdr:nvGraphicFramePr>
        <xdr:cNvPr id="38" name="Chart 37">
          <a:extLst>
            <a:ext uri="{FF2B5EF4-FFF2-40B4-BE49-F238E27FC236}">
              <a16:creationId xmlns:a16="http://schemas.microsoft.com/office/drawing/2014/main" id="{099B76F2-CE23-F7BB-BB35-AFFF10B7C2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xdr:col>
      <xdr:colOff>396240</xdr:colOff>
      <xdr:row>792</xdr:row>
      <xdr:rowOff>101600</xdr:rowOff>
    </xdr:from>
    <xdr:to>
      <xdr:col>11</xdr:col>
      <xdr:colOff>492760</xdr:colOff>
      <xdr:row>807</xdr:row>
      <xdr:rowOff>101600</xdr:rowOff>
    </xdr:to>
    <xdr:graphicFrame macro="">
      <xdr:nvGraphicFramePr>
        <xdr:cNvPr id="39" name="Chart 38">
          <a:extLst>
            <a:ext uri="{FF2B5EF4-FFF2-40B4-BE49-F238E27FC236}">
              <a16:creationId xmlns:a16="http://schemas.microsoft.com/office/drawing/2014/main" id="{7FF5C695-C6D9-C430-16B7-573BEC8AA4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497840</xdr:colOff>
      <xdr:row>813</xdr:row>
      <xdr:rowOff>40640</xdr:rowOff>
    </xdr:from>
    <xdr:to>
      <xdr:col>13</xdr:col>
      <xdr:colOff>589280</xdr:colOff>
      <xdr:row>828</xdr:row>
      <xdr:rowOff>40640</xdr:rowOff>
    </xdr:to>
    <xdr:graphicFrame macro="">
      <xdr:nvGraphicFramePr>
        <xdr:cNvPr id="40" name="Chart 39">
          <a:extLst>
            <a:ext uri="{FF2B5EF4-FFF2-40B4-BE49-F238E27FC236}">
              <a16:creationId xmlns:a16="http://schemas.microsoft.com/office/drawing/2014/main" id="{098EC659-363C-688D-EAC1-4818BB84A3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7</xdr:col>
      <xdr:colOff>96520</xdr:colOff>
      <xdr:row>828</xdr:row>
      <xdr:rowOff>116840</xdr:rowOff>
    </xdr:from>
    <xdr:to>
      <xdr:col>17</xdr:col>
      <xdr:colOff>497840</xdr:colOff>
      <xdr:row>848</xdr:row>
      <xdr:rowOff>121920</xdr:rowOff>
    </xdr:to>
    <xdr:graphicFrame macro="">
      <xdr:nvGraphicFramePr>
        <xdr:cNvPr id="41" name="Chart 40">
          <a:extLst>
            <a:ext uri="{FF2B5EF4-FFF2-40B4-BE49-F238E27FC236}">
              <a16:creationId xmlns:a16="http://schemas.microsoft.com/office/drawing/2014/main" id="{553C1E04-6D30-4158-2650-E148216895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447040</xdr:colOff>
      <xdr:row>849</xdr:row>
      <xdr:rowOff>111760</xdr:rowOff>
    </xdr:from>
    <xdr:to>
      <xdr:col>13</xdr:col>
      <xdr:colOff>538480</xdr:colOff>
      <xdr:row>864</xdr:row>
      <xdr:rowOff>111760</xdr:rowOff>
    </xdr:to>
    <xdr:graphicFrame macro="">
      <xdr:nvGraphicFramePr>
        <xdr:cNvPr id="42" name="Chart 41">
          <a:extLst>
            <a:ext uri="{FF2B5EF4-FFF2-40B4-BE49-F238E27FC236}">
              <a16:creationId xmlns:a16="http://schemas.microsoft.com/office/drawing/2014/main" id="{1C6C7AC7-A2A1-C51D-C8D2-F11DA4E83E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629920</xdr:colOff>
      <xdr:row>873</xdr:row>
      <xdr:rowOff>101600</xdr:rowOff>
    </xdr:from>
    <xdr:to>
      <xdr:col>14</xdr:col>
      <xdr:colOff>320040</xdr:colOff>
      <xdr:row>890</xdr:row>
      <xdr:rowOff>162560</xdr:rowOff>
    </xdr:to>
    <xdr:graphicFrame macro="">
      <xdr:nvGraphicFramePr>
        <xdr:cNvPr id="43" name="Chart 42">
          <a:extLst>
            <a:ext uri="{FF2B5EF4-FFF2-40B4-BE49-F238E27FC236}">
              <a16:creationId xmlns:a16="http://schemas.microsoft.com/office/drawing/2014/main" id="{57BE3AED-9DC3-72FC-D823-018C40137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7</xdr:col>
      <xdr:colOff>55880</xdr:colOff>
      <xdr:row>1002</xdr:row>
      <xdr:rowOff>111760</xdr:rowOff>
    </xdr:from>
    <xdr:to>
      <xdr:col>14</xdr:col>
      <xdr:colOff>147320</xdr:colOff>
      <xdr:row>1017</xdr:row>
      <xdr:rowOff>111760</xdr:rowOff>
    </xdr:to>
    <xdr:graphicFrame macro="">
      <xdr:nvGraphicFramePr>
        <xdr:cNvPr id="44" name="Chart 43">
          <a:extLst>
            <a:ext uri="{FF2B5EF4-FFF2-40B4-BE49-F238E27FC236}">
              <a16:creationId xmlns:a16="http://schemas.microsoft.com/office/drawing/2014/main" id="{12E17941-5230-195A-FC9E-809BB6268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15</xdr:col>
      <xdr:colOff>624840</xdr:colOff>
      <xdr:row>1057</xdr:row>
      <xdr:rowOff>20320</xdr:rowOff>
    </xdr:from>
    <xdr:to>
      <xdr:col>23</xdr:col>
      <xdr:colOff>441960</xdr:colOff>
      <xdr:row>1074</xdr:row>
      <xdr:rowOff>91440</xdr:rowOff>
    </xdr:to>
    <xdr:graphicFrame macro="">
      <xdr:nvGraphicFramePr>
        <xdr:cNvPr id="46" name="Chart 45">
          <a:extLst>
            <a:ext uri="{FF2B5EF4-FFF2-40B4-BE49-F238E27FC236}">
              <a16:creationId xmlns:a16="http://schemas.microsoft.com/office/drawing/2014/main" id="{C8F3C9B3-AB2A-A5FE-A8E4-60B40E635B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16</xdr:col>
      <xdr:colOff>472440</xdr:colOff>
      <xdr:row>1076</xdr:row>
      <xdr:rowOff>177800</xdr:rowOff>
    </xdr:from>
    <xdr:to>
      <xdr:col>24</xdr:col>
      <xdr:colOff>30480</xdr:colOff>
      <xdr:row>1091</xdr:row>
      <xdr:rowOff>152400</xdr:rowOff>
    </xdr:to>
    <xdr:graphicFrame macro="">
      <xdr:nvGraphicFramePr>
        <xdr:cNvPr id="45" name="Chart 44">
          <a:extLst>
            <a:ext uri="{FF2B5EF4-FFF2-40B4-BE49-F238E27FC236}">
              <a16:creationId xmlns:a16="http://schemas.microsoft.com/office/drawing/2014/main" id="{C53217CE-BCE5-F2BD-1C4A-9BC06841EF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172570</xdr:colOff>
      <xdr:row>43</xdr:row>
      <xdr:rowOff>87407</xdr:rowOff>
    </xdr:from>
    <xdr:to>
      <xdr:col>18</xdr:col>
      <xdr:colOff>150159</xdr:colOff>
      <xdr:row>59</xdr:row>
      <xdr:rowOff>73960</xdr:rowOff>
    </xdr:to>
    <xdr:graphicFrame macro="">
      <xdr:nvGraphicFramePr>
        <xdr:cNvPr id="2" name="Chart 1">
          <a:extLst>
            <a:ext uri="{FF2B5EF4-FFF2-40B4-BE49-F238E27FC236}">
              <a16:creationId xmlns:a16="http://schemas.microsoft.com/office/drawing/2014/main" id="{A264C500-D412-3989-7F84-6A51AB76A3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640974</xdr:colOff>
      <xdr:row>51</xdr:row>
      <xdr:rowOff>0</xdr:rowOff>
    </xdr:from>
    <xdr:to>
      <xdr:col>8</xdr:col>
      <xdr:colOff>161363</xdr:colOff>
      <xdr:row>67</xdr:row>
      <xdr:rowOff>142932</xdr:rowOff>
    </xdr:to>
    <xdr:graphicFrame macro="">
      <xdr:nvGraphicFramePr>
        <xdr:cNvPr id="2" name="Chart 1">
          <a:extLst>
            <a:ext uri="{FF2B5EF4-FFF2-40B4-BE49-F238E27FC236}">
              <a16:creationId xmlns:a16="http://schemas.microsoft.com/office/drawing/2014/main" id="{7F5D7A15-9753-43FE-B427-AC80A836F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71</xdr:row>
      <xdr:rowOff>0</xdr:rowOff>
    </xdr:from>
    <xdr:to>
      <xdr:col>6</xdr:col>
      <xdr:colOff>452718</xdr:colOff>
      <xdr:row>87</xdr:row>
      <xdr:rowOff>57671</xdr:rowOff>
    </xdr:to>
    <xdr:graphicFrame macro="">
      <xdr:nvGraphicFramePr>
        <xdr:cNvPr id="3" name="Chart 2">
          <a:extLst>
            <a:ext uri="{FF2B5EF4-FFF2-40B4-BE49-F238E27FC236}">
              <a16:creationId xmlns:a16="http://schemas.microsoft.com/office/drawing/2014/main" id="{05F8FFA3-0649-4D6B-8842-1FB3C8223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54432</xdr:colOff>
      <xdr:row>89</xdr:row>
      <xdr:rowOff>152400</xdr:rowOff>
    </xdr:from>
    <xdr:to>
      <xdr:col>8</xdr:col>
      <xdr:colOff>381000</xdr:colOff>
      <xdr:row>103</xdr:row>
      <xdr:rowOff>131528</xdr:rowOff>
    </xdr:to>
    <xdr:graphicFrame macro="">
      <xdr:nvGraphicFramePr>
        <xdr:cNvPr id="4" name="Chart 3">
          <a:extLst>
            <a:ext uri="{FF2B5EF4-FFF2-40B4-BE49-F238E27FC236}">
              <a16:creationId xmlns:a16="http://schemas.microsoft.com/office/drawing/2014/main" id="{68D897C2-1BCD-4E93-B949-D39C0608A4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623048</xdr:colOff>
      <xdr:row>160</xdr:row>
      <xdr:rowOff>134470</xdr:rowOff>
    </xdr:from>
    <xdr:to>
      <xdr:col>5</xdr:col>
      <xdr:colOff>658906</xdr:colOff>
      <xdr:row>176</xdr:row>
      <xdr:rowOff>113979</xdr:rowOff>
    </xdr:to>
    <xdr:graphicFrame macro="">
      <xdr:nvGraphicFramePr>
        <xdr:cNvPr id="5" name="Chart 4">
          <a:extLst>
            <a:ext uri="{FF2B5EF4-FFF2-40B4-BE49-F238E27FC236}">
              <a16:creationId xmlns:a16="http://schemas.microsoft.com/office/drawing/2014/main" id="{9F4E7D25-FD66-4A2F-9F05-F2BDFF56C8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515470</xdr:colOff>
      <xdr:row>201</xdr:row>
      <xdr:rowOff>161364</xdr:rowOff>
    </xdr:from>
    <xdr:to>
      <xdr:col>6</xdr:col>
      <xdr:colOff>192547</xdr:colOff>
      <xdr:row>218</xdr:row>
      <xdr:rowOff>32016</xdr:rowOff>
    </xdr:to>
    <xdr:graphicFrame macro="">
      <xdr:nvGraphicFramePr>
        <xdr:cNvPr id="6" name="Chart 5">
          <a:extLst>
            <a:ext uri="{FF2B5EF4-FFF2-40B4-BE49-F238E27FC236}">
              <a16:creationId xmlns:a16="http://schemas.microsoft.com/office/drawing/2014/main" id="{5856AFEC-BF04-40B4-93D6-99B8C5FD9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387988</xdr:colOff>
      <xdr:row>106</xdr:row>
      <xdr:rowOff>115893</xdr:rowOff>
    </xdr:from>
    <xdr:to>
      <xdr:col>8</xdr:col>
      <xdr:colOff>540773</xdr:colOff>
      <xdr:row>121</xdr:row>
      <xdr:rowOff>102446</xdr:rowOff>
    </xdr:to>
    <xdr:graphicFrame macro="">
      <xdr:nvGraphicFramePr>
        <xdr:cNvPr id="9" name="Chart 8">
          <a:extLst>
            <a:ext uri="{FF2B5EF4-FFF2-40B4-BE49-F238E27FC236}">
              <a16:creationId xmlns:a16="http://schemas.microsoft.com/office/drawing/2014/main" id="{1D7DD4E6-BCF4-477D-B394-8502D4983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253251</xdr:colOff>
      <xdr:row>124</xdr:row>
      <xdr:rowOff>141193</xdr:rowOff>
    </xdr:from>
    <xdr:to>
      <xdr:col>9</xdr:col>
      <xdr:colOff>483419</xdr:colOff>
      <xdr:row>139</xdr:row>
      <xdr:rowOff>127746</xdr:rowOff>
    </xdr:to>
    <xdr:graphicFrame macro="">
      <xdr:nvGraphicFramePr>
        <xdr:cNvPr id="10" name="Chart 9">
          <a:extLst>
            <a:ext uri="{FF2B5EF4-FFF2-40B4-BE49-F238E27FC236}">
              <a16:creationId xmlns:a16="http://schemas.microsoft.com/office/drawing/2014/main" id="{EA26E29C-70A0-4444-B8D9-7D0F96B9F0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282387</xdr:colOff>
      <xdr:row>142</xdr:row>
      <xdr:rowOff>0</xdr:rowOff>
    </xdr:from>
    <xdr:to>
      <xdr:col>5</xdr:col>
      <xdr:colOff>528918</xdr:colOff>
      <xdr:row>156</xdr:row>
      <xdr:rowOff>170329</xdr:rowOff>
    </xdr:to>
    <xdr:graphicFrame macro="">
      <xdr:nvGraphicFramePr>
        <xdr:cNvPr id="11" name="Chart 10">
          <a:extLst>
            <a:ext uri="{FF2B5EF4-FFF2-40B4-BE49-F238E27FC236}">
              <a16:creationId xmlns:a16="http://schemas.microsoft.com/office/drawing/2014/main" id="{4F9467B8-7468-4743-BA63-873211832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4481</xdr:colOff>
      <xdr:row>178</xdr:row>
      <xdr:rowOff>17927</xdr:rowOff>
    </xdr:from>
    <xdr:to>
      <xdr:col>7</xdr:col>
      <xdr:colOff>65547</xdr:colOff>
      <xdr:row>194</xdr:row>
      <xdr:rowOff>143387</xdr:rowOff>
    </xdr:to>
    <xdr:graphicFrame macro="">
      <xdr:nvGraphicFramePr>
        <xdr:cNvPr id="12" name="Chart 11">
          <a:extLst>
            <a:ext uri="{FF2B5EF4-FFF2-40B4-BE49-F238E27FC236}">
              <a16:creationId xmlns:a16="http://schemas.microsoft.com/office/drawing/2014/main" id="{90C40B33-2C89-4F39-8190-0F8291097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510989</xdr:colOff>
      <xdr:row>222</xdr:row>
      <xdr:rowOff>0</xdr:rowOff>
    </xdr:from>
    <xdr:to>
      <xdr:col>5</xdr:col>
      <xdr:colOff>416859</xdr:colOff>
      <xdr:row>237</xdr:row>
      <xdr:rowOff>157523</xdr:rowOff>
    </xdr:to>
    <xdr:graphicFrame macro="">
      <xdr:nvGraphicFramePr>
        <xdr:cNvPr id="13" name="Chart 12">
          <a:extLst>
            <a:ext uri="{FF2B5EF4-FFF2-40B4-BE49-F238E27FC236}">
              <a16:creationId xmlns:a16="http://schemas.microsoft.com/office/drawing/2014/main" id="{BBF23588-AF51-48AE-B0FA-AA79D75E3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494167</xdr:colOff>
      <xdr:row>142</xdr:row>
      <xdr:rowOff>0</xdr:rowOff>
    </xdr:from>
    <xdr:to>
      <xdr:col>15</xdr:col>
      <xdr:colOff>135801</xdr:colOff>
      <xdr:row>156</xdr:row>
      <xdr:rowOff>170329</xdr:rowOff>
    </xdr:to>
    <xdr:graphicFrame macro="">
      <xdr:nvGraphicFramePr>
        <xdr:cNvPr id="7" name="Chart 6">
          <a:extLst>
            <a:ext uri="{FF2B5EF4-FFF2-40B4-BE49-F238E27FC236}">
              <a16:creationId xmlns:a16="http://schemas.microsoft.com/office/drawing/2014/main" id="{0119C2F0-23AB-4AA2-A407-B6278FAA9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19</xdr:col>
      <xdr:colOff>584754</xdr:colOff>
      <xdr:row>22</xdr:row>
      <xdr:rowOff>164713</xdr:rowOff>
    </xdr:from>
    <xdr:to>
      <xdr:col>25</xdr:col>
      <xdr:colOff>310971</xdr:colOff>
      <xdr:row>61</xdr:row>
      <xdr:rowOff>146784</xdr:rowOff>
    </xdr:to>
    <xdr:graphicFrame macro="">
      <xdr:nvGraphicFramePr>
        <xdr:cNvPr id="8" name="Chart 7">
          <a:extLst>
            <a:ext uri="{FF2B5EF4-FFF2-40B4-BE49-F238E27FC236}">
              <a16:creationId xmlns:a16="http://schemas.microsoft.com/office/drawing/2014/main" id="{7913344F-AEB0-8C7E-8C56-326B7B3DD6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114299</xdr:colOff>
      <xdr:row>64</xdr:row>
      <xdr:rowOff>177053</xdr:rowOff>
    </xdr:from>
    <xdr:to>
      <xdr:col>22</xdr:col>
      <xdr:colOff>129988</xdr:colOff>
      <xdr:row>79</xdr:row>
      <xdr:rowOff>163606</xdr:rowOff>
    </xdr:to>
    <xdr:graphicFrame macro="">
      <xdr:nvGraphicFramePr>
        <xdr:cNvPr id="14" name="Chart 13">
          <a:extLst>
            <a:ext uri="{FF2B5EF4-FFF2-40B4-BE49-F238E27FC236}">
              <a16:creationId xmlns:a16="http://schemas.microsoft.com/office/drawing/2014/main" id="{034266AF-51EF-3010-E870-9E6E654E5B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454959</xdr:colOff>
      <xdr:row>86</xdr:row>
      <xdr:rowOff>87407</xdr:rowOff>
    </xdr:from>
    <xdr:to>
      <xdr:col>21</xdr:col>
      <xdr:colOff>540123</xdr:colOff>
      <xdr:row>101</xdr:row>
      <xdr:rowOff>73960</xdr:rowOff>
    </xdr:to>
    <xdr:graphicFrame macro="">
      <xdr:nvGraphicFramePr>
        <xdr:cNvPr id="15" name="Chart 14">
          <a:extLst>
            <a:ext uri="{FF2B5EF4-FFF2-40B4-BE49-F238E27FC236}">
              <a16:creationId xmlns:a16="http://schemas.microsoft.com/office/drawing/2014/main" id="{F8B9A300-F5E5-F7E1-2B6A-88849E632D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108</xdr:row>
      <xdr:rowOff>0</xdr:rowOff>
    </xdr:from>
    <xdr:to>
      <xdr:col>23</xdr:col>
      <xdr:colOff>85164</xdr:colOff>
      <xdr:row>122</xdr:row>
      <xdr:rowOff>170329</xdr:rowOff>
    </xdr:to>
    <xdr:graphicFrame macro="">
      <xdr:nvGraphicFramePr>
        <xdr:cNvPr id="16" name="Chart 15">
          <a:extLst>
            <a:ext uri="{FF2B5EF4-FFF2-40B4-BE49-F238E27FC236}">
              <a16:creationId xmlns:a16="http://schemas.microsoft.com/office/drawing/2014/main" id="{3AFF8ED2-74AF-4E49-9639-985C63F24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96087</xdr:colOff>
      <xdr:row>263</xdr:row>
      <xdr:rowOff>141767</xdr:rowOff>
    </xdr:from>
    <xdr:to>
      <xdr:col>29</xdr:col>
      <xdr:colOff>122206</xdr:colOff>
      <xdr:row>282</xdr:row>
      <xdr:rowOff>125995</xdr:rowOff>
    </xdr:to>
    <xdr:graphicFrame macro="">
      <xdr:nvGraphicFramePr>
        <xdr:cNvPr id="17" name="Chart 16">
          <a:extLst>
            <a:ext uri="{FF2B5EF4-FFF2-40B4-BE49-F238E27FC236}">
              <a16:creationId xmlns:a16="http://schemas.microsoft.com/office/drawing/2014/main" id="{8AA9D875-9775-3D7A-92F6-3C82AD7505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90446</xdr:colOff>
      <xdr:row>261</xdr:row>
      <xdr:rowOff>176088</xdr:rowOff>
    </xdr:from>
    <xdr:to>
      <xdr:col>21</xdr:col>
      <xdr:colOff>23248</xdr:colOff>
      <xdr:row>277</xdr:row>
      <xdr:rowOff>79700</xdr:rowOff>
    </xdr:to>
    <xdr:graphicFrame macro="">
      <xdr:nvGraphicFramePr>
        <xdr:cNvPr id="19" name="Chart 18">
          <a:extLst>
            <a:ext uri="{FF2B5EF4-FFF2-40B4-BE49-F238E27FC236}">
              <a16:creationId xmlns:a16="http://schemas.microsoft.com/office/drawing/2014/main" id="{D2A3B4D6-F6A8-5491-16E7-626B34D23B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46517</xdr:colOff>
      <xdr:row>241</xdr:row>
      <xdr:rowOff>52718</xdr:rowOff>
    </xdr:from>
    <xdr:to>
      <xdr:col>22</xdr:col>
      <xdr:colOff>509477</xdr:colOff>
      <xdr:row>259</xdr:row>
      <xdr:rowOff>128475</xdr:rowOff>
    </xdr:to>
    <xdr:graphicFrame macro="">
      <xdr:nvGraphicFramePr>
        <xdr:cNvPr id="20" name="Chart 19">
          <a:extLst>
            <a:ext uri="{FF2B5EF4-FFF2-40B4-BE49-F238E27FC236}">
              <a16:creationId xmlns:a16="http://schemas.microsoft.com/office/drawing/2014/main" id="{6879A7BA-FFA1-A9B5-C2BC-785B8FB8FE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0</xdr:colOff>
      <xdr:row>141</xdr:row>
      <xdr:rowOff>181639</xdr:rowOff>
    </xdr:from>
    <xdr:to>
      <xdr:col>26</xdr:col>
      <xdr:colOff>88605</xdr:colOff>
      <xdr:row>160</xdr:row>
      <xdr:rowOff>26581</xdr:rowOff>
    </xdr:to>
    <xdr:graphicFrame macro="">
      <xdr:nvGraphicFramePr>
        <xdr:cNvPr id="21" name="Chart 20">
          <a:extLst>
            <a:ext uri="{FF2B5EF4-FFF2-40B4-BE49-F238E27FC236}">
              <a16:creationId xmlns:a16="http://schemas.microsoft.com/office/drawing/2014/main" id="{19906F0D-FDEE-4279-BED4-E436CF02D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cfil02\CHQ_users\ghorn00\My%20Documents\VoIP%20Model\Cisco%20VoIP%20Model%20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pp3\common\CORPACCT\Financial%20Reporting\SEC\FORM10-Q\2004\3Q%202004\Corporate\workpapers\Debt%20Report%209-30-2004%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jsv002\user%20folder2\Accounting\&#20104;&#23455;&#38306;&#36899;\_FY05&#20104;&#23455;\_Package\&#20840;&#31038;&#65381;&#37096;&#21029;&#22522;&#30990;Data&#21152;&#24037;&#20966;&#29702;_&#26368;&#26032;&#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LECOMS/STOCKS/ASIA%20(ex-Japan)%20Internet/Tech%20analyser%20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jsv002\user%20folder2\Planning\FLASH%20SUMMARY\050912%20Flash%20Daily%20Report\Back%20Up&#29992;\Back%20Up&#29992;\EMM%20%20&#23455;&#32318;Revi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able\finance\TAX51A\COBB\EXCEL\CASHFLOW\2005\1st%20Qtr%202005\FAS%20115%20Tax%201Q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jsv002\user%20folder2\Accounting\&#20104;&#23455;&#38306;&#36899;\_FY06&#20104;&#23455;\_Reporting\_&#12381;&#12398;&#20182;BS&#12539;CF&#12539;Inventory\&#12381;&#12398;&#20182;&#12524;&#12509;&#12540;&#12488;&#12501;&#12449;&#12452;&#12523;-&#26368;&#26032;&#29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able\corp-dfs\Financial%20Planning\REPORTING\2016\1Q16\Below%20the%20Line\Support\Net_IncomeBridg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able\Documents%20and%20Settings\PurvisR\Local%20Settings\Temporary%20Internet%20Files\OLK7F\Documents%20and%20Settings\PreeceS\Local%20Settings\Temporary%20Internet%20Files\OLK22\Overhead%20Consolidation%20December%20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jsv002\user%20folder2\Accounting\&#20104;&#23455;&#38306;&#36899;\_FY04&#20104;&#23455;\_&#12381;&#12398;&#20182;\200405&#35211;&#36796;&#12415;&#1238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jsv002\user%20folder2\Accounting\&#20104;&#23455;&#38306;&#36899;\_FY06&#20104;&#23455;\_Reporting\_PL&#38306;&#36899;\FY06_&#37096;&#38263;&#20250;&#29992;&#36039;&#26009;&#20316;&#25104;&#65420;&#65383;&#65394;&#65433;-&#26368;&#26032;&#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ment"/>
      <sheetName val="Model"/>
      <sheetName val="Financial Statements"/>
      <sheetName val="Capex"/>
      <sheetName val="Capex Input"/>
      <sheetName val="Results"/>
      <sheetName val="BTS Tabl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 Debt Roll"/>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加工(MTD)"/>
      <sheetName val="ﾃﾞｰﾀ加工(YTD)"/>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TOW"/>
      <sheetName val="MELI"/>
      <sheetName val="BAI"/>
      <sheetName val="TC"/>
      <sheetName val="QH"/>
      <sheetName val="REN"/>
      <sheetName val="SINA"/>
      <sheetName val="WB"/>
      <sheetName val="CA"/>
      <sheetName val="DNA"/>
      <sheetName val="GR"/>
      <sheetName val="NEX"/>
      <sheetName val="RAK"/>
      <sheetName val="YJP"/>
      <sheetName val="BTOW1"/>
      <sheetName val="MELI1"/>
      <sheetName val="BAI1"/>
      <sheetName val="TC1"/>
      <sheetName val="QH1"/>
      <sheetName val="REN1"/>
      <sheetName val="SINA1"/>
      <sheetName val="WB1"/>
      <sheetName val="CA1"/>
      <sheetName val="DNA1"/>
      <sheetName val="GR1"/>
      <sheetName val="NEX1"/>
      <sheetName val="RAK1"/>
      <sheetName val="YJP1"/>
      <sheetName val="Global comps"/>
      <sheetName val="Consensus data"/>
      <sheetName val="Share prices"/>
    </sheetNames>
    <sheetDataSet>
      <sheetData sheetId="0">
        <row r="84">
          <cell r="C84">
            <v>1.52207</v>
          </cell>
        </row>
        <row r="86">
          <cell r="C86">
            <v>2.2357999999999998</v>
          </cell>
        </row>
        <row r="87">
          <cell r="C87">
            <v>99.71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1">
          <cell r="C41">
            <v>0.39643310566492568</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3FY 2nd Hafl Latest Estimate"/>
      <sheetName val="WeeklyData"/>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Cost Repor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_ID"/>
      <sheetName val="★ﾒﾆｭｰ"/>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d"/>
      <sheetName val="Ref"/>
      <sheetName val="WaterFall_Prep"/>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Z"/>
      <sheetName val="BEN"/>
      <sheetName val="BRA"/>
      <sheetName val="CE"/>
      <sheetName val="FRA"/>
      <sheetName val="ITA"/>
      <sheetName val="JPN"/>
      <sheetName val="KOR"/>
      <sheetName val="MEX"/>
      <sheetName val="NOR"/>
      <sheetName val="SPA"/>
      <sheetName val="UK"/>
      <sheetName val="UPIBV"/>
      <sheetName val="UPIO"/>
      <sheetName val="UPV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ﾃﾞｰﾀ"/>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heckout.com/blog/revisiting-the-durbin-amend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47C9-957D-46EF-B084-AE890E2828E3}">
  <dimension ref="A8:AU39"/>
  <sheetViews>
    <sheetView showGridLines="0" tabSelected="1" zoomScale="76" zoomScaleNormal="100" workbookViewId="0">
      <selection activeCell="B10" sqref="B10"/>
    </sheetView>
  </sheetViews>
  <sheetFormatPr defaultColWidth="8.89453125" defaultRowHeight="11.7" x14ac:dyDescent="0.45"/>
  <cols>
    <col min="1" max="1" width="15.47265625" style="105" customWidth="1"/>
    <col min="2" max="2" width="13" style="105" customWidth="1"/>
    <col min="3" max="9" width="8.89453125" style="105"/>
    <col min="10" max="10" width="9.89453125" style="105" bestFit="1" customWidth="1"/>
    <col min="11" max="12" width="8.89453125" style="105"/>
    <col min="13" max="13" width="10.68359375" style="105" bestFit="1" customWidth="1"/>
    <col min="14" max="20" width="8.89453125" style="105"/>
    <col min="21" max="21" width="7.47265625" style="105" bestFit="1" customWidth="1"/>
    <col min="22" max="16384" width="8.89453125" style="105"/>
  </cols>
  <sheetData>
    <row r="8" spans="1:20" ht="13.2" thickBot="1" x14ac:dyDescent="0.55000000000000004">
      <c r="A8" s="103"/>
      <c r="B8" s="104"/>
      <c r="C8" s="104"/>
      <c r="D8" s="104"/>
      <c r="E8" s="104"/>
      <c r="F8" s="104"/>
      <c r="G8" s="104"/>
      <c r="H8" s="104"/>
      <c r="I8" s="104"/>
      <c r="J8" s="104"/>
      <c r="K8" s="104"/>
      <c r="L8" s="104"/>
      <c r="M8" s="104"/>
      <c r="N8" s="104"/>
      <c r="O8" s="104"/>
      <c r="P8" s="104"/>
      <c r="Q8" s="104"/>
      <c r="R8" s="104"/>
      <c r="S8" s="104"/>
      <c r="T8" s="104"/>
    </row>
    <row r="9" spans="1:20" x14ac:dyDescent="0.45">
      <c r="A9" s="106"/>
      <c r="B9" s="106"/>
      <c r="C9" s="106"/>
      <c r="D9" s="106"/>
      <c r="E9" s="106"/>
      <c r="F9" s="106"/>
      <c r="G9" s="106"/>
      <c r="H9" s="106"/>
      <c r="I9" s="106"/>
      <c r="J9" s="106"/>
      <c r="K9" s="106"/>
      <c r="L9" s="106"/>
      <c r="M9" s="106"/>
      <c r="N9" s="106"/>
      <c r="O9" s="106"/>
      <c r="P9" s="106"/>
      <c r="Q9" s="106"/>
      <c r="R9" s="106"/>
      <c r="S9" s="106"/>
      <c r="T9" s="106"/>
    </row>
    <row r="10" spans="1:20" x14ac:dyDescent="0.45">
      <c r="A10" s="106"/>
      <c r="B10" s="106"/>
      <c r="C10" s="106"/>
      <c r="D10" s="106"/>
      <c r="E10" s="106"/>
      <c r="F10" s="106"/>
      <c r="G10" s="106"/>
      <c r="H10" s="106"/>
      <c r="I10" s="106"/>
      <c r="J10" s="106"/>
      <c r="K10" s="106"/>
      <c r="L10" s="106"/>
      <c r="M10" s="106"/>
      <c r="N10" s="106"/>
      <c r="O10" s="106"/>
      <c r="P10" s="106"/>
      <c r="Q10" s="106"/>
      <c r="R10" s="106"/>
      <c r="S10" s="106"/>
      <c r="T10" s="106"/>
    </row>
    <row r="11" spans="1:20" x14ac:dyDescent="0.45">
      <c r="A11" s="106"/>
      <c r="B11" s="106"/>
      <c r="C11" s="106"/>
      <c r="D11" s="106"/>
      <c r="E11" s="106"/>
      <c r="F11" s="106"/>
      <c r="G11" s="106"/>
      <c r="H11" s="106"/>
      <c r="I11" s="106"/>
      <c r="J11" s="106"/>
      <c r="K11" s="106"/>
      <c r="L11" s="106"/>
      <c r="M11" s="106"/>
      <c r="N11" s="106"/>
      <c r="O11" s="106"/>
      <c r="P11" s="106"/>
      <c r="Q11" s="106"/>
      <c r="R11" s="106"/>
      <c r="S11" s="106"/>
      <c r="T11" s="106"/>
    </row>
    <row r="12" spans="1:20" x14ac:dyDescent="0.45">
      <c r="A12" s="106"/>
      <c r="B12" s="106"/>
      <c r="C12" s="106"/>
      <c r="D12" s="106"/>
      <c r="E12" s="106"/>
      <c r="F12" s="106"/>
      <c r="G12" s="106"/>
      <c r="H12" s="106"/>
      <c r="I12" s="106"/>
      <c r="J12" s="106"/>
      <c r="K12" s="106"/>
      <c r="L12" s="106"/>
      <c r="M12" s="106"/>
      <c r="N12" s="106"/>
      <c r="O12" s="106"/>
      <c r="P12" s="106"/>
      <c r="Q12" s="106"/>
      <c r="R12" s="106"/>
      <c r="S12" s="106"/>
      <c r="T12" s="106"/>
    </row>
    <row r="13" spans="1:20" ht="23.1" x14ac:dyDescent="0.85">
      <c r="A13" s="106"/>
      <c r="B13" s="107" t="s">
        <v>492</v>
      </c>
      <c r="C13" s="106"/>
      <c r="D13" s="106"/>
      <c r="E13" s="106"/>
      <c r="F13" s="106"/>
      <c r="G13" s="106"/>
      <c r="H13" s="106"/>
      <c r="I13" s="106"/>
      <c r="J13" s="106"/>
      <c r="K13" s="106"/>
      <c r="L13" s="106"/>
      <c r="M13" s="106"/>
      <c r="N13" s="106"/>
      <c r="O13" s="106"/>
      <c r="P13" s="106"/>
      <c r="Q13" s="106"/>
      <c r="R13" s="106"/>
      <c r="S13" s="106"/>
      <c r="T13" s="106"/>
    </row>
    <row r="14" spans="1:20" x14ac:dyDescent="0.45">
      <c r="A14" s="106"/>
      <c r="B14" s="106"/>
      <c r="C14" s="106"/>
      <c r="D14" s="106"/>
      <c r="E14" s="106"/>
      <c r="F14" s="106"/>
      <c r="G14" s="106"/>
      <c r="H14" s="106"/>
      <c r="I14" s="106"/>
      <c r="J14" s="106"/>
      <c r="K14" s="106"/>
      <c r="L14" s="106"/>
      <c r="M14" s="106"/>
      <c r="N14" s="106"/>
      <c r="O14" s="106"/>
      <c r="P14" s="106"/>
      <c r="Q14" s="106"/>
      <c r="R14" s="106"/>
      <c r="S14" s="106"/>
      <c r="T14" s="106"/>
    </row>
    <row r="15" spans="1:20" x14ac:dyDescent="0.45">
      <c r="A15" s="106"/>
      <c r="B15" s="106"/>
      <c r="C15" s="106"/>
      <c r="D15" s="106"/>
      <c r="E15" s="106"/>
      <c r="F15" s="106"/>
      <c r="G15" s="106"/>
      <c r="H15" s="106"/>
      <c r="I15" s="106"/>
      <c r="J15" s="106"/>
      <c r="K15" s="106"/>
      <c r="L15" s="106"/>
      <c r="M15" s="106"/>
      <c r="N15" s="106"/>
      <c r="O15" s="106"/>
      <c r="P15" s="106"/>
      <c r="Q15" s="106"/>
      <c r="R15" s="106"/>
      <c r="S15" s="106"/>
      <c r="T15" s="106"/>
    </row>
    <row r="16" spans="1:20" x14ac:dyDescent="0.45">
      <c r="A16" s="106"/>
      <c r="B16" s="108">
        <f ca="1">+TODAY()</f>
        <v>45480</v>
      </c>
      <c r="C16" s="106"/>
      <c r="D16" s="106"/>
      <c r="E16" s="106"/>
      <c r="F16" s="106"/>
      <c r="G16" s="106"/>
      <c r="H16" s="106"/>
      <c r="I16" s="106"/>
      <c r="J16" s="106"/>
      <c r="K16" s="106"/>
      <c r="L16" s="106"/>
      <c r="M16" s="106"/>
      <c r="N16" s="106"/>
      <c r="O16" s="106"/>
      <c r="P16" s="106"/>
      <c r="Q16" s="106"/>
      <c r="R16" s="106"/>
      <c r="S16" s="106"/>
      <c r="T16" s="106"/>
    </row>
    <row r="17" spans="1:47" ht="12.9" x14ac:dyDescent="0.5">
      <c r="A17" s="106"/>
      <c r="B17" s="109"/>
      <c r="C17" s="106"/>
      <c r="D17" s="106"/>
      <c r="E17" s="106"/>
      <c r="F17" s="106"/>
      <c r="G17" s="106"/>
      <c r="H17" s="106"/>
      <c r="I17" s="106"/>
      <c r="J17" s="106"/>
      <c r="K17" s="106"/>
      <c r="L17" s="106"/>
      <c r="M17" s="106"/>
      <c r="N17" s="106"/>
      <c r="O17" s="106"/>
      <c r="P17" s="106"/>
      <c r="Q17" s="106"/>
      <c r="R17" s="106"/>
      <c r="S17" s="106"/>
      <c r="T17" s="106"/>
    </row>
    <row r="18" spans="1:47" ht="12.9" x14ac:dyDescent="0.5">
      <c r="A18" s="106"/>
      <c r="B18" s="109"/>
      <c r="C18" s="106"/>
      <c r="D18" s="106"/>
      <c r="E18" s="106"/>
      <c r="F18" s="106"/>
      <c r="G18" s="106"/>
      <c r="H18" s="106"/>
      <c r="I18" s="106"/>
      <c r="J18" s="106"/>
      <c r="K18" s="106"/>
      <c r="L18" s="106"/>
      <c r="M18" s="106"/>
      <c r="N18" s="106"/>
      <c r="O18" s="106"/>
      <c r="P18" s="106"/>
      <c r="Q18" s="106"/>
      <c r="R18" s="106"/>
      <c r="S18" s="106"/>
      <c r="T18" s="106"/>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row>
    <row r="19" spans="1:47" ht="12.9" x14ac:dyDescent="0.5">
      <c r="A19" s="106"/>
      <c r="B19" s="111" t="s">
        <v>493</v>
      </c>
      <c r="C19" s="106"/>
      <c r="D19" s="106"/>
      <c r="E19" s="106"/>
      <c r="F19" s="106"/>
      <c r="G19" s="106"/>
      <c r="H19" s="112"/>
      <c r="I19" s="106"/>
      <c r="J19" s="106"/>
      <c r="K19" s="106"/>
      <c r="L19" s="106"/>
      <c r="M19" s="106"/>
      <c r="N19" s="106"/>
      <c r="O19" s="106"/>
      <c r="P19" s="106"/>
      <c r="Q19" s="106"/>
      <c r="R19" s="106"/>
      <c r="S19" s="106"/>
      <c r="T19" s="106"/>
      <c r="U19" s="110"/>
      <c r="V19" s="110"/>
    </row>
    <row r="20" spans="1:47" ht="12.9" x14ac:dyDescent="0.5">
      <c r="A20" s="106"/>
      <c r="B20" s="113" t="s">
        <v>486</v>
      </c>
      <c r="C20" s="106"/>
      <c r="D20" s="106"/>
      <c r="E20" s="106"/>
      <c r="F20" s="106"/>
      <c r="G20" s="106"/>
      <c r="H20" s="106"/>
      <c r="I20" s="106"/>
      <c r="J20" s="106"/>
      <c r="K20" s="106"/>
      <c r="L20" s="106"/>
      <c r="M20" s="106"/>
      <c r="N20" s="106"/>
      <c r="O20" s="106"/>
      <c r="P20" s="106"/>
      <c r="Q20" s="106"/>
      <c r="R20" s="110"/>
      <c r="S20" s="110"/>
      <c r="T20" s="110"/>
      <c r="U20" s="110"/>
      <c r="V20" s="110"/>
    </row>
    <row r="21" spans="1:47" ht="12.9" x14ac:dyDescent="0.5">
      <c r="A21" s="106"/>
      <c r="B21" s="114" t="s">
        <v>487</v>
      </c>
      <c r="C21" s="115"/>
      <c r="D21" s="115"/>
      <c r="E21" s="106"/>
      <c r="F21" s="106"/>
      <c r="G21" s="106"/>
      <c r="H21" s="106"/>
      <c r="I21" s="106"/>
      <c r="J21" s="106"/>
      <c r="K21" s="106"/>
      <c r="L21" s="106"/>
      <c r="M21" s="106"/>
      <c r="N21" s="106"/>
      <c r="O21" s="106"/>
      <c r="P21" s="106"/>
      <c r="Q21" s="106"/>
      <c r="R21" s="106"/>
      <c r="S21" s="106"/>
      <c r="T21" s="106"/>
    </row>
    <row r="22" spans="1:47" ht="12.9" x14ac:dyDescent="0.5">
      <c r="A22" s="106"/>
      <c r="B22" s="109" t="s">
        <v>488</v>
      </c>
      <c r="C22" s="115"/>
      <c r="D22" s="115"/>
      <c r="E22" s="106"/>
      <c r="F22" s="106"/>
      <c r="G22" s="106"/>
      <c r="H22" s="106"/>
      <c r="I22" s="106"/>
      <c r="J22" s="106"/>
      <c r="K22" s="106"/>
      <c r="L22" s="106"/>
      <c r="M22" s="106"/>
      <c r="N22" s="106"/>
      <c r="O22" s="106"/>
      <c r="P22" s="106"/>
      <c r="Q22" s="106"/>
      <c r="R22" s="106"/>
      <c r="S22" s="106"/>
      <c r="T22" s="106"/>
    </row>
    <row r="23" spans="1:47" ht="12.9" x14ac:dyDescent="0.5">
      <c r="A23" s="106"/>
      <c r="B23" s="109"/>
      <c r="C23" s="115"/>
      <c r="D23" s="115"/>
      <c r="E23" s="106"/>
      <c r="F23" s="106"/>
      <c r="G23" s="106"/>
      <c r="H23" s="106"/>
      <c r="I23" s="106"/>
      <c r="J23" s="106"/>
      <c r="K23" s="106"/>
      <c r="L23" s="106"/>
      <c r="M23" s="106"/>
      <c r="N23" s="106"/>
      <c r="O23" s="106"/>
      <c r="P23" s="106"/>
      <c r="Q23" s="106"/>
      <c r="R23" s="106"/>
      <c r="S23" s="106"/>
      <c r="T23" s="106"/>
    </row>
    <row r="24" spans="1:47" x14ac:dyDescent="0.45">
      <c r="A24" s="106"/>
      <c r="B24" s="116"/>
      <c r="C24" s="115"/>
      <c r="D24" s="115"/>
      <c r="E24" s="106"/>
      <c r="F24" s="106"/>
      <c r="G24" s="106"/>
      <c r="H24" s="106"/>
      <c r="I24" s="106"/>
      <c r="J24" s="117"/>
      <c r="K24" s="106"/>
      <c r="L24" s="106"/>
      <c r="M24" s="106"/>
      <c r="N24" s="106"/>
      <c r="O24" s="106"/>
      <c r="P24" s="106"/>
      <c r="Q24" s="106"/>
      <c r="R24" s="106"/>
      <c r="S24" s="106"/>
      <c r="T24" s="106"/>
    </row>
    <row r="25" spans="1:47" x14ac:dyDescent="0.45">
      <c r="A25" s="106"/>
      <c r="B25" s="115" t="s">
        <v>489</v>
      </c>
      <c r="C25" s="118" t="s">
        <v>494</v>
      </c>
      <c r="D25" s="106"/>
      <c r="E25" s="106"/>
      <c r="F25" s="106"/>
      <c r="G25" s="106"/>
      <c r="H25" s="106"/>
      <c r="I25" s="106"/>
      <c r="J25" s="106"/>
      <c r="K25" s="106"/>
      <c r="L25" s="106"/>
      <c r="M25" s="117"/>
      <c r="N25" s="106"/>
      <c r="O25" s="106"/>
      <c r="P25" s="106"/>
      <c r="Q25" s="106"/>
      <c r="R25" s="106"/>
      <c r="S25" s="106"/>
      <c r="T25" s="106"/>
    </row>
    <row r="26" spans="1:47" x14ac:dyDescent="0.45">
      <c r="A26" s="106"/>
      <c r="B26" s="115" t="s">
        <v>490</v>
      </c>
      <c r="C26" s="118" t="s">
        <v>1915</v>
      </c>
      <c r="D26" s="106"/>
      <c r="E26" s="106"/>
      <c r="F26" s="106"/>
      <c r="G26" s="106"/>
      <c r="H26" s="106"/>
      <c r="I26" s="106"/>
      <c r="J26" s="106"/>
      <c r="K26" s="106"/>
      <c r="L26" s="106"/>
      <c r="M26" s="117"/>
      <c r="N26" s="106"/>
      <c r="O26" s="106"/>
      <c r="P26" s="106"/>
      <c r="Q26" s="106"/>
      <c r="R26" s="106"/>
      <c r="S26" s="106"/>
      <c r="T26" s="106"/>
    </row>
    <row r="27" spans="1:47" x14ac:dyDescent="0.45">
      <c r="A27" s="106"/>
      <c r="B27" s="115" t="s">
        <v>491</v>
      </c>
      <c r="C27" s="119">
        <v>14</v>
      </c>
      <c r="D27" s="112"/>
      <c r="E27" s="112"/>
      <c r="F27" s="106"/>
      <c r="G27" s="106"/>
      <c r="H27" s="106"/>
      <c r="I27" s="106"/>
      <c r="J27" s="106"/>
      <c r="K27" s="106"/>
      <c r="L27" s="106"/>
      <c r="M27" s="106"/>
      <c r="N27" s="106"/>
      <c r="O27" s="106"/>
      <c r="P27" s="106"/>
      <c r="Q27" s="106"/>
      <c r="R27" s="106"/>
      <c r="S27" s="106"/>
      <c r="T27" s="106"/>
    </row>
    <row r="28" spans="1:47" x14ac:dyDescent="0.45">
      <c r="A28" s="106"/>
      <c r="B28" s="115"/>
      <c r="C28" s="120"/>
      <c r="D28" s="112"/>
      <c r="E28" s="112"/>
      <c r="F28" s="112"/>
      <c r="G28" s="112"/>
      <c r="H28" s="112"/>
      <c r="I28" s="112"/>
      <c r="J28" s="112"/>
      <c r="K28" s="112"/>
      <c r="L28" s="112"/>
      <c r="M28" s="112"/>
      <c r="N28" s="112"/>
      <c r="O28" s="112"/>
      <c r="P28" s="106"/>
      <c r="Q28" s="106"/>
      <c r="R28" s="106"/>
      <c r="S28" s="106"/>
      <c r="T28" s="106"/>
    </row>
    <row r="29" spans="1:47" x14ac:dyDescent="0.45">
      <c r="A29" s="106"/>
      <c r="B29" s="115"/>
      <c r="C29" s="120"/>
      <c r="D29" s="112"/>
      <c r="E29" s="112"/>
      <c r="F29" s="112"/>
      <c r="G29" s="112"/>
      <c r="H29" s="112"/>
      <c r="I29" s="112"/>
      <c r="J29" s="112"/>
      <c r="K29" s="112"/>
      <c r="L29" s="112"/>
      <c r="M29" s="112"/>
      <c r="N29" s="112"/>
      <c r="O29" s="112"/>
      <c r="P29" s="106"/>
      <c r="Q29" s="106"/>
      <c r="R29" s="106"/>
      <c r="S29" s="106"/>
      <c r="T29" s="106"/>
    </row>
    <row r="30" spans="1:47" x14ac:dyDescent="0.45">
      <c r="A30" s="106"/>
      <c r="B30" s="115"/>
      <c r="C30" s="120"/>
      <c r="D30" s="106"/>
      <c r="E30" s="106"/>
      <c r="F30" s="106"/>
      <c r="G30" s="106"/>
      <c r="H30" s="106"/>
      <c r="I30" s="106"/>
      <c r="J30" s="106"/>
      <c r="K30" s="106"/>
      <c r="L30" s="106"/>
      <c r="M30" s="106"/>
      <c r="N30" s="106"/>
      <c r="O30" s="106"/>
      <c r="P30" s="106"/>
      <c r="Q30" s="106"/>
      <c r="R30" s="106"/>
      <c r="S30" s="106"/>
      <c r="T30" s="106"/>
    </row>
    <row r="31" spans="1:47" x14ac:dyDescent="0.45">
      <c r="A31" s="106"/>
      <c r="B31" s="106"/>
      <c r="C31" s="106"/>
      <c r="D31" s="106"/>
      <c r="E31" s="106"/>
      <c r="F31" s="106"/>
      <c r="G31" s="106"/>
      <c r="H31" s="106"/>
      <c r="I31" s="106"/>
      <c r="J31" s="106"/>
      <c r="K31" s="106"/>
      <c r="L31" s="106"/>
      <c r="M31" s="106"/>
      <c r="N31" s="106"/>
      <c r="O31" s="106"/>
      <c r="P31" s="106"/>
      <c r="Q31" s="106"/>
      <c r="R31" s="106"/>
      <c r="S31" s="106"/>
      <c r="T31" s="106"/>
    </row>
    <row r="32" spans="1:47" x14ac:dyDescent="0.45">
      <c r="A32" s="106"/>
      <c r="B32" s="106"/>
      <c r="C32" s="106"/>
      <c r="D32" s="106"/>
      <c r="E32" s="106"/>
      <c r="F32" s="106"/>
      <c r="G32" s="106"/>
      <c r="H32" s="106"/>
      <c r="I32" s="106"/>
      <c r="J32" s="106"/>
      <c r="K32" s="106"/>
      <c r="L32" s="106"/>
      <c r="M32" s="106"/>
      <c r="N32" s="106"/>
      <c r="O32" s="106"/>
      <c r="P32" s="106"/>
      <c r="Q32" s="106"/>
      <c r="R32" s="106"/>
      <c r="S32" s="106"/>
      <c r="T32" s="106"/>
    </row>
    <row r="33" spans="1:20" x14ac:dyDescent="0.45">
      <c r="A33" s="106"/>
      <c r="B33" s="106"/>
      <c r="C33" s="106"/>
      <c r="D33" s="106"/>
      <c r="E33" s="106"/>
      <c r="F33" s="106"/>
      <c r="G33" s="106"/>
      <c r="H33" s="106"/>
      <c r="I33" s="106"/>
      <c r="J33" s="106"/>
      <c r="K33" s="106"/>
      <c r="L33" s="106"/>
      <c r="M33" s="106"/>
      <c r="N33" s="106"/>
      <c r="O33" s="106"/>
      <c r="P33" s="106"/>
      <c r="Q33" s="106"/>
      <c r="R33" s="106"/>
      <c r="S33" s="106"/>
      <c r="T33" s="106"/>
    </row>
    <row r="34" spans="1:20" x14ac:dyDescent="0.45">
      <c r="A34" s="106"/>
      <c r="B34" s="106"/>
      <c r="C34" s="106"/>
      <c r="D34" s="106"/>
      <c r="E34" s="106"/>
      <c r="F34" s="106"/>
      <c r="G34" s="106"/>
      <c r="H34" s="106"/>
      <c r="I34" s="106"/>
      <c r="J34" s="106"/>
      <c r="K34" s="106"/>
      <c r="L34" s="106"/>
      <c r="M34" s="106"/>
      <c r="N34" s="106"/>
      <c r="O34" s="106"/>
      <c r="P34" s="106"/>
      <c r="Q34" s="106"/>
      <c r="R34" s="106"/>
      <c r="S34" s="106"/>
      <c r="T34" s="106"/>
    </row>
    <row r="35" spans="1:20" x14ac:dyDescent="0.45">
      <c r="A35" s="106"/>
      <c r="B35" s="106"/>
      <c r="C35" s="106"/>
      <c r="D35" s="106"/>
      <c r="E35" s="106"/>
      <c r="F35" s="106"/>
      <c r="G35" s="106"/>
      <c r="H35" s="106"/>
      <c r="I35" s="106"/>
      <c r="J35" s="106"/>
      <c r="K35" s="106"/>
      <c r="L35" s="106"/>
      <c r="M35" s="106"/>
      <c r="N35" s="106"/>
      <c r="O35" s="106"/>
      <c r="P35" s="106"/>
      <c r="Q35" s="106"/>
      <c r="R35" s="106"/>
      <c r="S35" s="106"/>
      <c r="T35" s="106"/>
    </row>
    <row r="36" spans="1:20" x14ac:dyDescent="0.45">
      <c r="A36" s="106"/>
      <c r="B36" s="106"/>
      <c r="C36" s="106"/>
      <c r="D36" s="106"/>
      <c r="E36" s="106"/>
      <c r="F36" s="106"/>
      <c r="G36" s="106"/>
      <c r="H36" s="106"/>
      <c r="I36" s="106"/>
      <c r="J36" s="106"/>
      <c r="K36" s="106"/>
      <c r="L36" s="106"/>
      <c r="M36" s="106"/>
      <c r="N36" s="106"/>
      <c r="O36" s="106"/>
      <c r="P36" s="106"/>
      <c r="Q36" s="106"/>
      <c r="R36" s="106"/>
      <c r="S36" s="106"/>
      <c r="T36" s="106"/>
    </row>
    <row r="37" spans="1:20" x14ac:dyDescent="0.45">
      <c r="A37" s="106"/>
      <c r="B37" s="106"/>
      <c r="C37" s="106"/>
      <c r="D37" s="106"/>
      <c r="E37" s="106"/>
      <c r="F37" s="106"/>
      <c r="G37" s="106"/>
      <c r="H37" s="106"/>
      <c r="I37" s="106"/>
      <c r="J37" s="106"/>
      <c r="K37" s="106"/>
      <c r="L37" s="106"/>
      <c r="M37" s="106"/>
      <c r="N37" s="106"/>
      <c r="O37" s="106"/>
      <c r="P37" s="106"/>
      <c r="Q37" s="106"/>
      <c r="R37" s="106"/>
      <c r="S37" s="106"/>
      <c r="T37" s="106"/>
    </row>
    <row r="38" spans="1:20" x14ac:dyDescent="0.45">
      <c r="A38" s="106"/>
      <c r="B38" s="106"/>
      <c r="C38" s="106"/>
      <c r="D38" s="106"/>
      <c r="E38" s="106"/>
      <c r="F38" s="106"/>
      <c r="G38" s="106"/>
      <c r="H38" s="106"/>
      <c r="I38" s="106"/>
      <c r="J38" s="106"/>
      <c r="K38" s="106"/>
      <c r="L38" s="106"/>
      <c r="M38" s="106"/>
      <c r="N38" s="106"/>
      <c r="O38" s="106"/>
      <c r="P38" s="106"/>
      <c r="Q38" s="106"/>
      <c r="R38" s="106"/>
      <c r="S38" s="106"/>
      <c r="T38" s="106"/>
    </row>
    <row r="39" spans="1:20" ht="12" thickBot="1" x14ac:dyDescent="0.5">
      <c r="A39" s="104"/>
      <c r="B39" s="104"/>
      <c r="C39" s="104"/>
      <c r="D39" s="104"/>
      <c r="E39" s="104"/>
      <c r="F39" s="104"/>
      <c r="G39" s="104"/>
      <c r="H39" s="104"/>
      <c r="I39" s="104"/>
      <c r="J39" s="104"/>
      <c r="K39" s="104"/>
      <c r="L39" s="104"/>
      <c r="M39" s="104"/>
      <c r="N39" s="104"/>
      <c r="O39" s="104"/>
      <c r="P39" s="104"/>
      <c r="Q39" s="104"/>
      <c r="R39" s="104"/>
      <c r="S39" s="104"/>
      <c r="T39" s="10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C6C7A-3447-4CDA-9817-051BBC4F1FC9}">
  <dimension ref="A4:AV1597"/>
  <sheetViews>
    <sheetView topLeftCell="A1434" zoomScale="80" zoomScaleNormal="115" workbookViewId="0">
      <selection activeCell="B1454" sqref="B1454"/>
    </sheetView>
  </sheetViews>
  <sheetFormatPr defaultRowHeight="14.4" x14ac:dyDescent="0.55000000000000004"/>
  <cols>
    <col min="2" max="2" width="12.41796875" customWidth="1"/>
    <col min="15" max="15" width="10.68359375" bestFit="1" customWidth="1"/>
    <col min="17" max="17" width="9.68359375" bestFit="1" customWidth="1"/>
  </cols>
  <sheetData>
    <row r="4" spans="2:4" x14ac:dyDescent="0.55000000000000004">
      <c r="B4" s="1" t="s">
        <v>2</v>
      </c>
      <c r="C4" s="1">
        <v>2019</v>
      </c>
      <c r="D4" s="1">
        <v>2020</v>
      </c>
    </row>
    <row r="5" spans="2:4" x14ac:dyDescent="0.55000000000000004">
      <c r="B5" t="s">
        <v>0</v>
      </c>
      <c r="C5">
        <v>1287</v>
      </c>
      <c r="D5">
        <v>2064</v>
      </c>
    </row>
    <row r="6" spans="2:4" x14ac:dyDescent="0.55000000000000004">
      <c r="B6" t="s">
        <v>1</v>
      </c>
      <c r="C6" s="4">
        <v>55</v>
      </c>
      <c r="D6">
        <v>104</v>
      </c>
    </row>
    <row r="7" spans="2:4" x14ac:dyDescent="0.55000000000000004">
      <c r="B7" t="s">
        <v>3</v>
      </c>
      <c r="C7" s="4">
        <v>20</v>
      </c>
      <c r="D7">
        <v>41.9</v>
      </c>
    </row>
    <row r="8" spans="2:4" x14ac:dyDescent="0.55000000000000004">
      <c r="B8" t="s">
        <v>4</v>
      </c>
      <c r="C8" s="3">
        <f>C7/C6</f>
        <v>0.36363636363636365</v>
      </c>
      <c r="D8" s="3">
        <f>D7/D6</f>
        <v>0.4028846153846154</v>
      </c>
    </row>
    <row r="10" spans="2:4" x14ac:dyDescent="0.55000000000000004">
      <c r="B10" t="s">
        <v>25</v>
      </c>
      <c r="C10" s="9">
        <f>C5*0.93</f>
        <v>1196.9100000000001</v>
      </c>
      <c r="D10" s="9">
        <f>D5*0.92</f>
        <v>1898.88</v>
      </c>
    </row>
    <row r="11" spans="2:4" x14ac:dyDescent="0.55000000000000004">
      <c r="B11" t="s">
        <v>23</v>
      </c>
      <c r="C11" s="9">
        <f>C10/6</f>
        <v>199.48500000000001</v>
      </c>
      <c r="D11" s="9">
        <f>D10/6</f>
        <v>316.48</v>
      </c>
    </row>
    <row r="12" spans="2:4" x14ac:dyDescent="0.55000000000000004">
      <c r="C12" s="9"/>
    </row>
    <row r="13" spans="2:4" x14ac:dyDescent="0.55000000000000004">
      <c r="B13" s="1" t="s">
        <v>2</v>
      </c>
      <c r="C13" s="5" t="s">
        <v>6</v>
      </c>
      <c r="D13" s="5" t="s">
        <v>5</v>
      </c>
    </row>
    <row r="14" spans="2:4" x14ac:dyDescent="0.55000000000000004">
      <c r="B14" t="str">
        <f>B5</f>
        <v>TPV</v>
      </c>
      <c r="C14">
        <v>388.2</v>
      </c>
      <c r="D14">
        <v>925.9</v>
      </c>
    </row>
    <row r="15" spans="2:4" x14ac:dyDescent="0.55000000000000004">
      <c r="B15" t="str">
        <f>B6</f>
        <v>Revenue</v>
      </c>
      <c r="C15" s="4">
        <v>18</v>
      </c>
      <c r="D15">
        <v>40.200000000000003</v>
      </c>
    </row>
    <row r="16" spans="2:4" x14ac:dyDescent="0.55000000000000004">
      <c r="B16" t="str">
        <f>B7</f>
        <v>EBITDA</v>
      </c>
      <c r="C16">
        <v>7.4</v>
      </c>
      <c r="D16">
        <v>17.8</v>
      </c>
    </row>
    <row r="17" spans="2:8" x14ac:dyDescent="0.55000000000000004">
      <c r="B17" t="str">
        <f>B8</f>
        <v>margin</v>
      </c>
      <c r="C17" s="3">
        <f>C16/C15</f>
        <v>0.41111111111111115</v>
      </c>
      <c r="D17" s="3">
        <f>D16/D15</f>
        <v>0.44278606965174128</v>
      </c>
    </row>
    <row r="19" spans="2:8" x14ac:dyDescent="0.55000000000000004">
      <c r="B19" t="s">
        <v>7</v>
      </c>
      <c r="F19" t="s">
        <v>8</v>
      </c>
    </row>
    <row r="21" spans="2:8" x14ac:dyDescent="0.55000000000000004">
      <c r="B21" s="7" t="s">
        <v>14</v>
      </c>
      <c r="D21" s="7">
        <v>2020</v>
      </c>
      <c r="E21" s="7"/>
      <c r="F21" s="7">
        <v>2024</v>
      </c>
    </row>
    <row r="22" spans="2:8" x14ac:dyDescent="0.55000000000000004">
      <c r="B22" t="s">
        <v>9</v>
      </c>
      <c r="D22">
        <v>1200</v>
      </c>
    </row>
    <row r="23" spans="2:8" x14ac:dyDescent="0.55000000000000004">
      <c r="B23" s="8" t="s">
        <v>15</v>
      </c>
    </row>
    <row r="24" spans="2:8" x14ac:dyDescent="0.55000000000000004">
      <c r="B24" s="6" t="s">
        <v>11</v>
      </c>
      <c r="D24">
        <f>D22-D25</f>
        <v>772</v>
      </c>
      <c r="H24" t="s">
        <v>12</v>
      </c>
    </row>
    <row r="25" spans="2:8" x14ac:dyDescent="0.55000000000000004">
      <c r="B25" s="6" t="s">
        <v>10</v>
      </c>
      <c r="D25">
        <v>428</v>
      </c>
      <c r="F25">
        <v>1100</v>
      </c>
      <c r="G25" s="2">
        <f>F25/D25-1</f>
        <v>1.5700934579439254</v>
      </c>
      <c r="H25" t="s">
        <v>13</v>
      </c>
    </row>
    <row r="26" spans="2:8" x14ac:dyDescent="0.55000000000000004">
      <c r="B26" s="8" t="s">
        <v>15</v>
      </c>
    </row>
    <row r="27" spans="2:8" x14ac:dyDescent="0.55000000000000004">
      <c r="B27" s="6" t="s">
        <v>16</v>
      </c>
      <c r="D27" s="9">
        <f>E27*D25</f>
        <v>368.08</v>
      </c>
      <c r="E27" s="2">
        <v>0.86</v>
      </c>
    </row>
    <row r="28" spans="2:8" x14ac:dyDescent="0.55000000000000004">
      <c r="B28" s="6" t="s">
        <v>17</v>
      </c>
      <c r="D28" s="9">
        <f>D25-D27</f>
        <v>59.920000000000016</v>
      </c>
      <c r="E28" s="2">
        <v>0.14000000000000001</v>
      </c>
    </row>
    <row r="30" spans="2:8" x14ac:dyDescent="0.55000000000000004">
      <c r="B30" t="s">
        <v>18</v>
      </c>
    </row>
    <row r="31" spans="2:8" x14ac:dyDescent="0.55000000000000004">
      <c r="C31" t="s">
        <v>19</v>
      </c>
    </row>
    <row r="33" spans="2:5" x14ac:dyDescent="0.55000000000000004">
      <c r="B33" t="s">
        <v>20</v>
      </c>
    </row>
    <row r="34" spans="2:5" x14ac:dyDescent="0.55000000000000004">
      <c r="C34" t="s">
        <v>21</v>
      </c>
    </row>
    <row r="35" spans="2:5" x14ac:dyDescent="0.55000000000000004">
      <c r="C35" t="s">
        <v>22</v>
      </c>
    </row>
    <row r="37" spans="2:5" x14ac:dyDescent="0.55000000000000004">
      <c r="E37" t="s">
        <v>24</v>
      </c>
    </row>
    <row r="39" spans="2:5" x14ac:dyDescent="0.55000000000000004">
      <c r="B39" s="7" t="s">
        <v>26</v>
      </c>
    </row>
    <row r="40" spans="2:5" x14ac:dyDescent="0.55000000000000004">
      <c r="B40" t="s">
        <v>27</v>
      </c>
    </row>
    <row r="41" spans="2:5" x14ac:dyDescent="0.55000000000000004">
      <c r="C41" t="s">
        <v>28</v>
      </c>
    </row>
    <row r="42" spans="2:5" x14ac:dyDescent="0.55000000000000004">
      <c r="C42" t="s">
        <v>29</v>
      </c>
    </row>
    <row r="44" spans="2:5" x14ac:dyDescent="0.55000000000000004">
      <c r="B44" s="7" t="s">
        <v>23</v>
      </c>
    </row>
    <row r="45" spans="2:5" x14ac:dyDescent="0.55000000000000004">
      <c r="B45" t="s">
        <v>42</v>
      </c>
    </row>
    <row r="46" spans="2:5" x14ac:dyDescent="0.55000000000000004">
      <c r="B46" t="s">
        <v>37</v>
      </c>
    </row>
    <row r="47" spans="2:5" x14ac:dyDescent="0.55000000000000004">
      <c r="B47" t="s">
        <v>38</v>
      </c>
    </row>
    <row r="48" spans="2:5" x14ac:dyDescent="0.55000000000000004">
      <c r="B48" t="s">
        <v>39</v>
      </c>
    </row>
    <row r="49" spans="2:2" x14ac:dyDescent="0.55000000000000004">
      <c r="B49" t="s">
        <v>32</v>
      </c>
    </row>
    <row r="50" spans="2:2" x14ac:dyDescent="0.55000000000000004">
      <c r="B50" t="s">
        <v>40</v>
      </c>
    </row>
    <row r="51" spans="2:2" x14ac:dyDescent="0.55000000000000004">
      <c r="B51" t="s">
        <v>31</v>
      </c>
    </row>
    <row r="52" spans="2:2" x14ac:dyDescent="0.55000000000000004">
      <c r="B52" t="s">
        <v>41</v>
      </c>
    </row>
    <row r="53" spans="2:2" x14ac:dyDescent="0.55000000000000004">
      <c r="B53" t="s">
        <v>48</v>
      </c>
    </row>
    <row r="54" spans="2:2" x14ac:dyDescent="0.55000000000000004">
      <c r="B54" t="s">
        <v>45</v>
      </c>
    </row>
    <row r="55" spans="2:2" x14ac:dyDescent="0.55000000000000004">
      <c r="B55" t="s">
        <v>43</v>
      </c>
    </row>
    <row r="56" spans="2:2" x14ac:dyDescent="0.55000000000000004">
      <c r="B56" t="s">
        <v>30</v>
      </c>
    </row>
    <row r="57" spans="2:2" x14ac:dyDescent="0.55000000000000004">
      <c r="B57" t="s">
        <v>35</v>
      </c>
    </row>
    <row r="58" spans="2:2" x14ac:dyDescent="0.55000000000000004">
      <c r="B58" t="s">
        <v>44</v>
      </c>
    </row>
    <row r="59" spans="2:2" x14ac:dyDescent="0.55000000000000004">
      <c r="B59" t="s">
        <v>36</v>
      </c>
    </row>
    <row r="60" spans="2:2" x14ac:dyDescent="0.55000000000000004">
      <c r="B60" t="s">
        <v>33</v>
      </c>
    </row>
    <row r="61" spans="2:2" x14ac:dyDescent="0.55000000000000004">
      <c r="B61" t="s">
        <v>34</v>
      </c>
    </row>
    <row r="62" spans="2:2" x14ac:dyDescent="0.55000000000000004">
      <c r="B62" t="s">
        <v>47</v>
      </c>
    </row>
    <row r="63" spans="2:2" x14ac:dyDescent="0.55000000000000004">
      <c r="B63" t="s">
        <v>46</v>
      </c>
    </row>
    <row r="65" spans="1:3" x14ac:dyDescent="0.55000000000000004">
      <c r="B65" s="7" t="s">
        <v>406</v>
      </c>
    </row>
    <row r="67" spans="1:3" x14ac:dyDescent="0.55000000000000004">
      <c r="B67" t="s">
        <v>417</v>
      </c>
    </row>
    <row r="68" spans="1:3" x14ac:dyDescent="0.55000000000000004">
      <c r="C68" t="s">
        <v>418</v>
      </c>
    </row>
    <row r="69" spans="1:3" x14ac:dyDescent="0.55000000000000004">
      <c r="A69" t="s">
        <v>444</v>
      </c>
      <c r="B69" t="s">
        <v>407</v>
      </c>
    </row>
    <row r="70" spans="1:3" x14ac:dyDescent="0.55000000000000004">
      <c r="C70" t="s">
        <v>414</v>
      </c>
    </row>
    <row r="71" spans="1:3" x14ac:dyDescent="0.55000000000000004">
      <c r="A71" t="s">
        <v>444</v>
      </c>
      <c r="B71" t="s">
        <v>408</v>
      </c>
    </row>
    <row r="72" spans="1:3" x14ac:dyDescent="0.55000000000000004">
      <c r="C72" t="s">
        <v>415</v>
      </c>
    </row>
    <row r="73" spans="1:3" x14ac:dyDescent="0.55000000000000004">
      <c r="C73" t="s">
        <v>440</v>
      </c>
    </row>
    <row r="74" spans="1:3" x14ac:dyDescent="0.55000000000000004">
      <c r="C74" t="s">
        <v>445</v>
      </c>
    </row>
    <row r="75" spans="1:3" x14ac:dyDescent="0.55000000000000004">
      <c r="B75" t="s">
        <v>217</v>
      </c>
    </row>
    <row r="76" spans="1:3" x14ac:dyDescent="0.55000000000000004">
      <c r="C76" t="s">
        <v>410</v>
      </c>
    </row>
    <row r="77" spans="1:3" x14ac:dyDescent="0.55000000000000004">
      <c r="C77" t="s">
        <v>432</v>
      </c>
    </row>
    <row r="78" spans="1:3" x14ac:dyDescent="0.55000000000000004">
      <c r="A78" t="s">
        <v>444</v>
      </c>
      <c r="B78" t="s">
        <v>421</v>
      </c>
    </row>
    <row r="79" spans="1:3" x14ac:dyDescent="0.55000000000000004">
      <c r="C79" t="s">
        <v>435</v>
      </c>
    </row>
    <row r="80" spans="1:3" x14ac:dyDescent="0.55000000000000004">
      <c r="A80" t="s">
        <v>444</v>
      </c>
      <c r="B80" t="s">
        <v>409</v>
      </c>
    </row>
    <row r="81" spans="2:4" x14ac:dyDescent="0.55000000000000004">
      <c r="C81" t="s">
        <v>411</v>
      </c>
    </row>
    <row r="82" spans="2:4" x14ac:dyDescent="0.55000000000000004">
      <c r="C82" t="s">
        <v>412</v>
      </c>
    </row>
    <row r="83" spans="2:4" x14ac:dyDescent="0.55000000000000004">
      <c r="D83" t="s">
        <v>413</v>
      </c>
    </row>
    <row r="84" spans="2:4" x14ac:dyDescent="0.55000000000000004">
      <c r="B84" t="s">
        <v>422</v>
      </c>
    </row>
    <row r="85" spans="2:4" x14ac:dyDescent="0.55000000000000004">
      <c r="C85" t="s">
        <v>427</v>
      </c>
    </row>
    <row r="86" spans="2:4" x14ac:dyDescent="0.55000000000000004">
      <c r="B86" t="s">
        <v>424</v>
      </c>
    </row>
    <row r="87" spans="2:4" x14ac:dyDescent="0.55000000000000004">
      <c r="C87" t="s">
        <v>425</v>
      </c>
    </row>
    <row r="88" spans="2:4" x14ac:dyDescent="0.55000000000000004">
      <c r="B88" t="s">
        <v>431</v>
      </c>
    </row>
    <row r="90" spans="2:4" x14ac:dyDescent="0.55000000000000004">
      <c r="B90" s="7" t="s">
        <v>423</v>
      </c>
    </row>
    <row r="91" spans="2:4" x14ac:dyDescent="0.55000000000000004">
      <c r="B91" t="s">
        <v>416</v>
      </c>
    </row>
    <row r="92" spans="2:4" x14ac:dyDescent="0.55000000000000004">
      <c r="C92" t="s">
        <v>428</v>
      </c>
    </row>
    <row r="93" spans="2:4" x14ac:dyDescent="0.55000000000000004">
      <c r="C93" t="s">
        <v>429</v>
      </c>
    </row>
    <row r="94" spans="2:4" x14ac:dyDescent="0.55000000000000004">
      <c r="B94" t="s">
        <v>419</v>
      </c>
    </row>
    <row r="95" spans="2:4" x14ac:dyDescent="0.55000000000000004">
      <c r="B95" t="s">
        <v>420</v>
      </c>
    </row>
    <row r="96" spans="2:4" x14ac:dyDescent="0.55000000000000004">
      <c r="B96" t="s">
        <v>426</v>
      </c>
    </row>
    <row r="97" spans="2:4" x14ac:dyDescent="0.55000000000000004">
      <c r="B97" t="s">
        <v>430</v>
      </c>
    </row>
    <row r="99" spans="2:4" x14ac:dyDescent="0.55000000000000004">
      <c r="B99" s="22" t="s">
        <v>433</v>
      </c>
    </row>
    <row r="100" spans="2:4" x14ac:dyDescent="0.55000000000000004">
      <c r="B100" t="s">
        <v>434</v>
      </c>
    </row>
    <row r="101" spans="2:4" x14ac:dyDescent="0.55000000000000004">
      <c r="C101" t="s">
        <v>438</v>
      </c>
    </row>
    <row r="102" spans="2:4" x14ac:dyDescent="0.55000000000000004">
      <c r="C102" t="s">
        <v>439</v>
      </c>
    </row>
    <row r="103" spans="2:4" x14ac:dyDescent="0.55000000000000004">
      <c r="C103" t="s">
        <v>441</v>
      </c>
    </row>
    <row r="104" spans="2:4" x14ac:dyDescent="0.55000000000000004">
      <c r="C104" t="s">
        <v>446</v>
      </c>
    </row>
    <row r="105" spans="2:4" x14ac:dyDescent="0.55000000000000004">
      <c r="C105" t="s">
        <v>451</v>
      </c>
    </row>
    <row r="106" spans="2:4" x14ac:dyDescent="0.55000000000000004">
      <c r="D106" t="s">
        <v>452</v>
      </c>
    </row>
    <row r="107" spans="2:4" x14ac:dyDescent="0.55000000000000004">
      <c r="D107" t="s">
        <v>453</v>
      </c>
    </row>
    <row r="108" spans="2:4" x14ac:dyDescent="0.55000000000000004">
      <c r="B108" t="s">
        <v>436</v>
      </c>
    </row>
    <row r="109" spans="2:4" x14ac:dyDescent="0.55000000000000004">
      <c r="C109" t="s">
        <v>442</v>
      </c>
    </row>
    <row r="110" spans="2:4" x14ac:dyDescent="0.55000000000000004">
      <c r="C110" t="s">
        <v>443</v>
      </c>
    </row>
    <row r="111" spans="2:4" x14ac:dyDescent="0.55000000000000004">
      <c r="B111" t="s">
        <v>437</v>
      </c>
    </row>
    <row r="112" spans="2:4" x14ac:dyDescent="0.55000000000000004">
      <c r="C112" t="s">
        <v>448</v>
      </c>
    </row>
    <row r="113" spans="2:4" x14ac:dyDescent="0.55000000000000004">
      <c r="C113" t="s">
        <v>447</v>
      </c>
    </row>
    <row r="114" spans="2:4" x14ac:dyDescent="0.55000000000000004">
      <c r="C114" t="s">
        <v>449</v>
      </c>
    </row>
    <row r="115" spans="2:4" x14ac:dyDescent="0.55000000000000004">
      <c r="C115" t="s">
        <v>450</v>
      </c>
    </row>
    <row r="116" spans="2:4" x14ac:dyDescent="0.55000000000000004">
      <c r="B116" t="s">
        <v>454</v>
      </c>
    </row>
    <row r="117" spans="2:4" x14ac:dyDescent="0.55000000000000004">
      <c r="C117" t="s">
        <v>455</v>
      </c>
    </row>
    <row r="118" spans="2:4" x14ac:dyDescent="0.55000000000000004">
      <c r="B118" t="s">
        <v>456</v>
      </c>
    </row>
    <row r="119" spans="2:4" x14ac:dyDescent="0.55000000000000004">
      <c r="C119" t="s">
        <v>457</v>
      </c>
    </row>
    <row r="120" spans="2:4" x14ac:dyDescent="0.55000000000000004">
      <c r="C120" t="s">
        <v>458</v>
      </c>
    </row>
    <row r="121" spans="2:4" x14ac:dyDescent="0.55000000000000004">
      <c r="C121" t="s">
        <v>459</v>
      </c>
    </row>
    <row r="122" spans="2:4" x14ac:dyDescent="0.55000000000000004">
      <c r="B122" t="s">
        <v>460</v>
      </c>
    </row>
    <row r="123" spans="2:4" x14ac:dyDescent="0.55000000000000004">
      <c r="C123" t="s">
        <v>470</v>
      </c>
    </row>
    <row r="124" spans="2:4" x14ac:dyDescent="0.55000000000000004">
      <c r="C124" s="39">
        <v>2020</v>
      </c>
    </row>
    <row r="125" spans="2:4" x14ac:dyDescent="0.55000000000000004">
      <c r="B125" t="s">
        <v>461</v>
      </c>
    </row>
    <row r="126" spans="2:4" x14ac:dyDescent="0.55000000000000004">
      <c r="C126" t="s">
        <v>462</v>
      </c>
    </row>
    <row r="127" spans="2:4" x14ac:dyDescent="0.55000000000000004">
      <c r="C127" t="s">
        <v>463</v>
      </c>
    </row>
    <row r="128" spans="2:4" x14ac:dyDescent="0.55000000000000004">
      <c r="D128" t="s">
        <v>464</v>
      </c>
    </row>
    <row r="129" spans="2:3" x14ac:dyDescent="0.55000000000000004">
      <c r="B129" t="s">
        <v>465</v>
      </c>
    </row>
    <row r="130" spans="2:3" x14ac:dyDescent="0.55000000000000004">
      <c r="C130" t="s">
        <v>466</v>
      </c>
    </row>
    <row r="131" spans="2:3" x14ac:dyDescent="0.55000000000000004">
      <c r="B131" t="s">
        <v>467</v>
      </c>
    </row>
    <row r="132" spans="2:3" x14ac:dyDescent="0.55000000000000004">
      <c r="B132" t="s">
        <v>468</v>
      </c>
    </row>
    <row r="133" spans="2:3" x14ac:dyDescent="0.55000000000000004">
      <c r="C133" s="101">
        <v>4.1000000000000002E-2</v>
      </c>
    </row>
    <row r="134" spans="2:3" x14ac:dyDescent="0.55000000000000004">
      <c r="C134" t="s">
        <v>469</v>
      </c>
    </row>
    <row r="135" spans="2:3" x14ac:dyDescent="0.55000000000000004">
      <c r="B135" t="s">
        <v>471</v>
      </c>
    </row>
    <row r="136" spans="2:3" x14ac:dyDescent="0.55000000000000004">
      <c r="C136" t="s">
        <v>472</v>
      </c>
    </row>
    <row r="137" spans="2:3" x14ac:dyDescent="0.55000000000000004">
      <c r="C137" t="s">
        <v>473</v>
      </c>
    </row>
    <row r="138" spans="2:3" x14ac:dyDescent="0.55000000000000004">
      <c r="B138" t="s">
        <v>474</v>
      </c>
    </row>
    <row r="139" spans="2:3" x14ac:dyDescent="0.55000000000000004">
      <c r="C139" t="s">
        <v>475</v>
      </c>
    </row>
    <row r="140" spans="2:3" x14ac:dyDescent="0.55000000000000004">
      <c r="C140" t="s">
        <v>476</v>
      </c>
    </row>
    <row r="141" spans="2:3" x14ac:dyDescent="0.55000000000000004">
      <c r="B141" t="s">
        <v>477</v>
      </c>
    </row>
    <row r="142" spans="2:3" x14ac:dyDescent="0.55000000000000004">
      <c r="C142" t="s">
        <v>478</v>
      </c>
    </row>
    <row r="144" spans="2:3" x14ac:dyDescent="0.55000000000000004">
      <c r="B144" s="22" t="s">
        <v>535</v>
      </c>
    </row>
    <row r="146" spans="2:3" x14ac:dyDescent="0.55000000000000004">
      <c r="B146" t="s">
        <v>496</v>
      </c>
    </row>
    <row r="147" spans="2:3" x14ac:dyDescent="0.55000000000000004">
      <c r="B147" t="s">
        <v>497</v>
      </c>
    </row>
    <row r="148" spans="2:3" x14ac:dyDescent="0.55000000000000004">
      <c r="B148" t="s">
        <v>498</v>
      </c>
    </row>
    <row r="149" spans="2:3" x14ac:dyDescent="0.55000000000000004">
      <c r="B149" t="s">
        <v>499</v>
      </c>
    </row>
    <row r="151" spans="2:3" x14ac:dyDescent="0.55000000000000004">
      <c r="B151" t="s">
        <v>500</v>
      </c>
    </row>
    <row r="153" spans="2:3" x14ac:dyDescent="0.55000000000000004">
      <c r="B153" t="s">
        <v>501</v>
      </c>
    </row>
    <row r="154" spans="2:3" x14ac:dyDescent="0.55000000000000004">
      <c r="C154" t="s">
        <v>502</v>
      </c>
    </row>
    <row r="155" spans="2:3" x14ac:dyDescent="0.55000000000000004">
      <c r="C155" t="s">
        <v>503</v>
      </c>
    </row>
    <row r="156" spans="2:3" x14ac:dyDescent="0.55000000000000004">
      <c r="B156" t="s">
        <v>380</v>
      </c>
    </row>
    <row r="157" spans="2:3" x14ac:dyDescent="0.55000000000000004">
      <c r="C157" t="s">
        <v>504</v>
      </c>
    </row>
    <row r="158" spans="2:3" x14ac:dyDescent="0.55000000000000004">
      <c r="B158" t="s">
        <v>505</v>
      </c>
    </row>
    <row r="159" spans="2:3" x14ac:dyDescent="0.55000000000000004">
      <c r="B159" t="s">
        <v>506</v>
      </c>
    </row>
    <row r="160" spans="2:3" x14ac:dyDescent="0.55000000000000004">
      <c r="C160" t="s">
        <v>507</v>
      </c>
    </row>
    <row r="161" spans="2:3" x14ac:dyDescent="0.55000000000000004">
      <c r="B161" t="s">
        <v>508</v>
      </c>
    </row>
    <row r="162" spans="2:3" x14ac:dyDescent="0.55000000000000004">
      <c r="C162" t="s">
        <v>509</v>
      </c>
    </row>
    <row r="163" spans="2:3" x14ac:dyDescent="0.55000000000000004">
      <c r="C163" t="s">
        <v>510</v>
      </c>
    </row>
    <row r="164" spans="2:3" x14ac:dyDescent="0.55000000000000004">
      <c r="B164" t="s">
        <v>511</v>
      </c>
    </row>
    <row r="165" spans="2:3" x14ac:dyDescent="0.55000000000000004">
      <c r="B165" t="s">
        <v>512</v>
      </c>
    </row>
    <row r="166" spans="2:3" x14ac:dyDescent="0.55000000000000004">
      <c r="B166" t="s">
        <v>64</v>
      </c>
    </row>
    <row r="167" spans="2:3" x14ac:dyDescent="0.55000000000000004">
      <c r="C167" t="s">
        <v>513</v>
      </c>
    </row>
    <row r="168" spans="2:3" x14ac:dyDescent="0.55000000000000004">
      <c r="C168" t="s">
        <v>514</v>
      </c>
    </row>
    <row r="169" spans="2:3" x14ac:dyDescent="0.55000000000000004">
      <c r="C169" t="s">
        <v>515</v>
      </c>
    </row>
    <row r="170" spans="2:3" x14ac:dyDescent="0.55000000000000004">
      <c r="B170" t="s">
        <v>516</v>
      </c>
    </row>
    <row r="171" spans="2:3" x14ac:dyDescent="0.55000000000000004">
      <c r="C171" t="s">
        <v>517</v>
      </c>
    </row>
    <row r="172" spans="2:3" x14ac:dyDescent="0.55000000000000004">
      <c r="C172" t="s">
        <v>518</v>
      </c>
    </row>
    <row r="173" spans="2:3" x14ac:dyDescent="0.55000000000000004">
      <c r="B173" t="s">
        <v>519</v>
      </c>
    </row>
    <row r="174" spans="2:3" x14ac:dyDescent="0.55000000000000004">
      <c r="C174" t="s">
        <v>520</v>
      </c>
    </row>
    <row r="175" spans="2:3" x14ac:dyDescent="0.55000000000000004">
      <c r="C175" t="s">
        <v>521</v>
      </c>
    </row>
    <row r="176" spans="2:3" x14ac:dyDescent="0.55000000000000004">
      <c r="C176" t="s">
        <v>522</v>
      </c>
    </row>
    <row r="177" spans="2:3" x14ac:dyDescent="0.55000000000000004">
      <c r="C177" t="s">
        <v>523</v>
      </c>
    </row>
    <row r="178" spans="2:3" x14ac:dyDescent="0.55000000000000004">
      <c r="B178" t="s">
        <v>3</v>
      </c>
    </row>
    <row r="179" spans="2:3" x14ac:dyDescent="0.55000000000000004">
      <c r="C179" t="s">
        <v>524</v>
      </c>
    </row>
    <row r="180" spans="2:3" x14ac:dyDescent="0.55000000000000004">
      <c r="C180" t="s">
        <v>525</v>
      </c>
    </row>
    <row r="181" spans="2:3" x14ac:dyDescent="0.55000000000000004">
      <c r="C181" t="s">
        <v>526</v>
      </c>
    </row>
    <row r="182" spans="2:3" x14ac:dyDescent="0.55000000000000004">
      <c r="C182" t="s">
        <v>527</v>
      </c>
    </row>
    <row r="183" spans="2:3" x14ac:dyDescent="0.55000000000000004">
      <c r="B183" t="s">
        <v>528</v>
      </c>
    </row>
    <row r="184" spans="2:3" x14ac:dyDescent="0.55000000000000004">
      <c r="C184" t="s">
        <v>529</v>
      </c>
    </row>
    <row r="185" spans="2:3" x14ac:dyDescent="0.55000000000000004">
      <c r="C185" t="s">
        <v>530</v>
      </c>
    </row>
    <row r="186" spans="2:3" x14ac:dyDescent="0.55000000000000004">
      <c r="B186" t="s">
        <v>531</v>
      </c>
    </row>
    <row r="187" spans="2:3" x14ac:dyDescent="0.55000000000000004">
      <c r="C187" t="s">
        <v>532</v>
      </c>
    </row>
    <row r="188" spans="2:3" x14ac:dyDescent="0.55000000000000004">
      <c r="C188" t="s">
        <v>533</v>
      </c>
    </row>
    <row r="189" spans="2:3" x14ac:dyDescent="0.55000000000000004">
      <c r="B189" t="s">
        <v>548</v>
      </c>
      <c r="C189" t="s">
        <v>534</v>
      </c>
    </row>
    <row r="190" spans="2:3" x14ac:dyDescent="0.55000000000000004">
      <c r="B190" t="s">
        <v>536</v>
      </c>
    </row>
    <row r="192" spans="2:3" x14ac:dyDescent="0.55000000000000004">
      <c r="B192" t="s">
        <v>537</v>
      </c>
    </row>
    <row r="193" spans="2:4" x14ac:dyDescent="0.55000000000000004">
      <c r="C193" t="s">
        <v>538</v>
      </c>
    </row>
    <row r="194" spans="2:4" x14ac:dyDescent="0.55000000000000004">
      <c r="D194" t="s">
        <v>545</v>
      </c>
    </row>
    <row r="195" spans="2:4" x14ac:dyDescent="0.55000000000000004">
      <c r="D195" t="s">
        <v>546</v>
      </c>
    </row>
    <row r="196" spans="2:4" x14ac:dyDescent="0.55000000000000004">
      <c r="D196" t="s">
        <v>547</v>
      </c>
    </row>
    <row r="197" spans="2:4" x14ac:dyDescent="0.55000000000000004">
      <c r="D197" t="s">
        <v>549</v>
      </c>
    </row>
    <row r="198" spans="2:4" x14ac:dyDescent="0.55000000000000004">
      <c r="C198" t="s">
        <v>539</v>
      </c>
    </row>
    <row r="199" spans="2:4" x14ac:dyDescent="0.55000000000000004">
      <c r="C199" t="s">
        <v>540</v>
      </c>
    </row>
    <row r="200" spans="2:4" x14ac:dyDescent="0.55000000000000004">
      <c r="B200" t="s">
        <v>541</v>
      </c>
    </row>
    <row r="201" spans="2:4" x14ac:dyDescent="0.55000000000000004">
      <c r="C201" t="s">
        <v>542</v>
      </c>
    </row>
    <row r="202" spans="2:4" x14ac:dyDescent="0.55000000000000004">
      <c r="D202" t="s">
        <v>543</v>
      </c>
    </row>
    <row r="203" spans="2:4" x14ac:dyDescent="0.55000000000000004">
      <c r="D203" t="s">
        <v>544</v>
      </c>
    </row>
    <row r="204" spans="2:4" x14ac:dyDescent="0.55000000000000004">
      <c r="B204" t="s">
        <v>461</v>
      </c>
    </row>
    <row r="205" spans="2:4" x14ac:dyDescent="0.55000000000000004">
      <c r="C205" t="s">
        <v>550</v>
      </c>
    </row>
    <row r="206" spans="2:4" x14ac:dyDescent="0.55000000000000004">
      <c r="D206" t="s">
        <v>551</v>
      </c>
    </row>
    <row r="207" spans="2:4" x14ac:dyDescent="0.55000000000000004">
      <c r="D207" t="s">
        <v>552</v>
      </c>
    </row>
    <row r="208" spans="2:4" x14ac:dyDescent="0.55000000000000004">
      <c r="C208" t="s">
        <v>553</v>
      </c>
    </row>
    <row r="209" spans="2:4" x14ac:dyDescent="0.55000000000000004">
      <c r="D209" t="s">
        <v>554</v>
      </c>
    </row>
    <row r="211" spans="2:4" x14ac:dyDescent="0.55000000000000004">
      <c r="B211" s="22" t="s">
        <v>555</v>
      </c>
    </row>
    <row r="213" spans="2:4" x14ac:dyDescent="0.55000000000000004">
      <c r="B213" t="s">
        <v>556</v>
      </c>
    </row>
    <row r="214" spans="2:4" x14ac:dyDescent="0.55000000000000004">
      <c r="B214" t="s">
        <v>557</v>
      </c>
    </row>
    <row r="215" spans="2:4" x14ac:dyDescent="0.55000000000000004">
      <c r="C215" t="s">
        <v>560</v>
      </c>
    </row>
    <row r="216" spans="2:4" x14ac:dyDescent="0.55000000000000004">
      <c r="C216" t="s">
        <v>567</v>
      </c>
    </row>
    <row r="217" spans="2:4" x14ac:dyDescent="0.55000000000000004">
      <c r="B217" t="s">
        <v>559</v>
      </c>
    </row>
    <row r="219" spans="2:4" x14ac:dyDescent="0.55000000000000004">
      <c r="B219" s="22" t="s">
        <v>563</v>
      </c>
    </row>
    <row r="220" spans="2:4" x14ac:dyDescent="0.55000000000000004">
      <c r="B220" t="s">
        <v>561</v>
      </c>
    </row>
    <row r="221" spans="2:4" x14ac:dyDescent="0.55000000000000004">
      <c r="C221" t="s">
        <v>562</v>
      </c>
    </row>
    <row r="222" spans="2:4" x14ac:dyDescent="0.55000000000000004">
      <c r="B222" t="s">
        <v>564</v>
      </c>
    </row>
    <row r="224" spans="2:4" x14ac:dyDescent="0.55000000000000004">
      <c r="B224" t="s">
        <v>565</v>
      </c>
    </row>
    <row r="226" spans="1:3" x14ac:dyDescent="0.55000000000000004">
      <c r="B226" t="s">
        <v>566</v>
      </c>
    </row>
    <row r="228" spans="1:3" x14ac:dyDescent="0.55000000000000004">
      <c r="B228" t="s">
        <v>568</v>
      </c>
    </row>
    <row r="230" spans="1:3" x14ac:dyDescent="0.55000000000000004">
      <c r="B230" s="7" t="s">
        <v>569</v>
      </c>
    </row>
    <row r="231" spans="1:3" x14ac:dyDescent="0.55000000000000004">
      <c r="C231" t="s">
        <v>570</v>
      </c>
    </row>
    <row r="232" spans="1:3" x14ac:dyDescent="0.55000000000000004">
      <c r="C232" t="s">
        <v>571</v>
      </c>
    </row>
    <row r="233" spans="1:3" x14ac:dyDescent="0.55000000000000004">
      <c r="C233" t="s">
        <v>572</v>
      </c>
    </row>
    <row r="234" spans="1:3" x14ac:dyDescent="0.55000000000000004">
      <c r="C234" t="s">
        <v>573</v>
      </c>
    </row>
    <row r="235" spans="1:3" x14ac:dyDescent="0.55000000000000004">
      <c r="C235" t="s">
        <v>574</v>
      </c>
    </row>
    <row r="236" spans="1:3" x14ac:dyDescent="0.55000000000000004">
      <c r="C236" t="s">
        <v>575</v>
      </c>
    </row>
    <row r="237" spans="1:3" x14ac:dyDescent="0.55000000000000004">
      <c r="C237" t="s">
        <v>577</v>
      </c>
    </row>
    <row r="238" spans="1:3" x14ac:dyDescent="0.55000000000000004">
      <c r="B238" t="s">
        <v>576</v>
      </c>
    </row>
    <row r="240" spans="1:3" x14ac:dyDescent="0.55000000000000004">
      <c r="A240" t="s">
        <v>579</v>
      </c>
      <c r="B240" t="s">
        <v>578</v>
      </c>
    </row>
    <row r="241" spans="1:4" x14ac:dyDescent="0.55000000000000004">
      <c r="A241" t="s">
        <v>580</v>
      </c>
      <c r="B241" t="s">
        <v>581</v>
      </c>
    </row>
    <row r="243" spans="1:4" x14ac:dyDescent="0.55000000000000004">
      <c r="B243" t="s">
        <v>585</v>
      </c>
    </row>
    <row r="244" spans="1:4" x14ac:dyDescent="0.55000000000000004">
      <c r="C244" t="s">
        <v>582</v>
      </c>
      <c r="D244" t="s">
        <v>583</v>
      </c>
    </row>
    <row r="245" spans="1:4" x14ac:dyDescent="0.55000000000000004">
      <c r="D245" t="s">
        <v>584</v>
      </c>
    </row>
    <row r="247" spans="1:4" x14ac:dyDescent="0.55000000000000004">
      <c r="B247" s="22" t="s">
        <v>587</v>
      </c>
    </row>
    <row r="248" spans="1:4" x14ac:dyDescent="0.55000000000000004">
      <c r="B248" s="10" t="s">
        <v>594</v>
      </c>
    </row>
    <row r="250" spans="1:4" x14ac:dyDescent="0.55000000000000004">
      <c r="B250" t="s">
        <v>588</v>
      </c>
    </row>
    <row r="252" spans="1:4" x14ac:dyDescent="0.55000000000000004">
      <c r="B252" t="s">
        <v>589</v>
      </c>
    </row>
    <row r="254" spans="1:4" x14ac:dyDescent="0.55000000000000004">
      <c r="B254" t="s">
        <v>254</v>
      </c>
    </row>
    <row r="255" spans="1:4" x14ac:dyDescent="0.55000000000000004">
      <c r="C255" t="s">
        <v>592</v>
      </c>
    </row>
    <row r="256" spans="1:4" x14ac:dyDescent="0.55000000000000004">
      <c r="C256" t="s">
        <v>593</v>
      </c>
    </row>
    <row r="258" spans="2:5" x14ac:dyDescent="0.55000000000000004">
      <c r="B258" t="s">
        <v>597</v>
      </c>
    </row>
    <row r="259" spans="2:5" x14ac:dyDescent="0.55000000000000004">
      <c r="C259" t="s">
        <v>600</v>
      </c>
    </row>
    <row r="260" spans="2:5" x14ac:dyDescent="0.55000000000000004">
      <c r="D260" t="s">
        <v>601</v>
      </c>
    </row>
    <row r="261" spans="2:5" x14ac:dyDescent="0.55000000000000004">
      <c r="D261" t="s">
        <v>602</v>
      </c>
    </row>
    <row r="262" spans="2:5" x14ac:dyDescent="0.55000000000000004">
      <c r="E262" t="s">
        <v>603</v>
      </c>
    </row>
    <row r="263" spans="2:5" x14ac:dyDescent="0.55000000000000004">
      <c r="C263" t="s">
        <v>598</v>
      </c>
      <c r="D263" t="s">
        <v>599</v>
      </c>
    </row>
    <row r="264" spans="2:5" x14ac:dyDescent="0.55000000000000004">
      <c r="E264" t="s">
        <v>604</v>
      </c>
    </row>
    <row r="265" spans="2:5" x14ac:dyDescent="0.55000000000000004">
      <c r="C265" t="s">
        <v>605</v>
      </c>
    </row>
    <row r="267" spans="2:5" x14ac:dyDescent="0.55000000000000004">
      <c r="B267" t="s">
        <v>596</v>
      </c>
    </row>
    <row r="268" spans="2:5" x14ac:dyDescent="0.55000000000000004">
      <c r="B268" t="s">
        <v>64</v>
      </c>
      <c r="C268" t="s">
        <v>595</v>
      </c>
    </row>
    <row r="270" spans="2:5" x14ac:dyDescent="0.55000000000000004">
      <c r="B270" t="s">
        <v>606</v>
      </c>
    </row>
    <row r="271" spans="2:5" x14ac:dyDescent="0.55000000000000004">
      <c r="C271" t="s">
        <v>607</v>
      </c>
    </row>
    <row r="272" spans="2:5" x14ac:dyDescent="0.55000000000000004">
      <c r="C272" t="s">
        <v>608</v>
      </c>
    </row>
    <row r="273" spans="2:6" x14ac:dyDescent="0.55000000000000004">
      <c r="C273" t="s">
        <v>609</v>
      </c>
    </row>
    <row r="275" spans="2:6" x14ac:dyDescent="0.55000000000000004">
      <c r="B275" s="7" t="s">
        <v>633</v>
      </c>
    </row>
    <row r="277" spans="2:6" x14ac:dyDescent="0.55000000000000004">
      <c r="B277" t="s">
        <v>634</v>
      </c>
    </row>
    <row r="278" spans="2:6" x14ac:dyDescent="0.55000000000000004">
      <c r="B278" t="s">
        <v>635</v>
      </c>
    </row>
    <row r="279" spans="2:6" x14ac:dyDescent="0.55000000000000004">
      <c r="B279" t="s">
        <v>636</v>
      </c>
    </row>
    <row r="280" spans="2:6" x14ac:dyDescent="0.55000000000000004">
      <c r="B280" t="s">
        <v>637</v>
      </c>
    </row>
    <row r="282" spans="2:6" x14ac:dyDescent="0.55000000000000004">
      <c r="B282" t="s">
        <v>638</v>
      </c>
      <c r="D282" t="s">
        <v>639</v>
      </c>
    </row>
    <row r="283" spans="2:6" x14ac:dyDescent="0.55000000000000004">
      <c r="D283">
        <v>2019</v>
      </c>
      <c r="E283">
        <f>D283+1</f>
        <v>2020</v>
      </c>
      <c r="F283">
        <f>E283+1</f>
        <v>2021</v>
      </c>
    </row>
    <row r="284" spans="2:6" x14ac:dyDescent="0.55000000000000004">
      <c r="D284">
        <v>90</v>
      </c>
      <c r="E284">
        <v>150</v>
      </c>
      <c r="F284">
        <v>240</v>
      </c>
    </row>
    <row r="285" spans="2:6" x14ac:dyDescent="0.55000000000000004">
      <c r="B285" t="s">
        <v>55</v>
      </c>
    </row>
    <row r="286" spans="2:6" x14ac:dyDescent="0.55000000000000004">
      <c r="D286">
        <v>190</v>
      </c>
      <c r="E286">
        <v>300</v>
      </c>
      <c r="F286">
        <v>400</v>
      </c>
    </row>
    <row r="287" spans="2:6" x14ac:dyDescent="0.55000000000000004">
      <c r="B287" t="s">
        <v>640</v>
      </c>
    </row>
    <row r="289" spans="2:3" x14ac:dyDescent="0.55000000000000004">
      <c r="B289" s="7" t="s">
        <v>641</v>
      </c>
    </row>
    <row r="291" spans="2:3" x14ac:dyDescent="0.55000000000000004">
      <c r="B291" t="s">
        <v>642</v>
      </c>
    </row>
    <row r="292" spans="2:3" x14ac:dyDescent="0.55000000000000004">
      <c r="C292" t="s">
        <v>643</v>
      </c>
    </row>
    <row r="293" spans="2:3" x14ac:dyDescent="0.55000000000000004">
      <c r="C293" t="s">
        <v>644</v>
      </c>
    </row>
    <row r="294" spans="2:3" x14ac:dyDescent="0.55000000000000004">
      <c r="C294" t="s">
        <v>645</v>
      </c>
    </row>
    <row r="295" spans="2:3" x14ac:dyDescent="0.55000000000000004">
      <c r="B295" t="s">
        <v>646</v>
      </c>
    </row>
    <row r="296" spans="2:3" x14ac:dyDescent="0.55000000000000004">
      <c r="C296" t="s">
        <v>647</v>
      </c>
    </row>
    <row r="297" spans="2:3" x14ac:dyDescent="0.55000000000000004">
      <c r="C297" t="s">
        <v>648</v>
      </c>
    </row>
    <row r="298" spans="2:3" x14ac:dyDescent="0.55000000000000004">
      <c r="B298" s="39">
        <v>2021</v>
      </c>
    </row>
    <row r="299" spans="2:3" x14ac:dyDescent="0.55000000000000004">
      <c r="C299" t="s">
        <v>649</v>
      </c>
    </row>
    <row r="300" spans="2:3" x14ac:dyDescent="0.55000000000000004">
      <c r="B300" t="s">
        <v>650</v>
      </c>
    </row>
    <row r="302" spans="2:3" x14ac:dyDescent="0.55000000000000004">
      <c r="B302" t="s">
        <v>219</v>
      </c>
      <c r="C302" t="s">
        <v>651</v>
      </c>
    </row>
    <row r="304" spans="2:3" x14ac:dyDescent="0.55000000000000004">
      <c r="B304" t="s">
        <v>652</v>
      </c>
    </row>
    <row r="305" spans="2:3" x14ac:dyDescent="0.55000000000000004">
      <c r="B305" t="s">
        <v>653</v>
      </c>
    </row>
    <row r="307" spans="2:3" x14ac:dyDescent="0.55000000000000004">
      <c r="B307" t="s">
        <v>654</v>
      </c>
    </row>
    <row r="308" spans="2:3" x14ac:dyDescent="0.55000000000000004">
      <c r="B308" t="s">
        <v>657</v>
      </c>
    </row>
    <row r="309" spans="2:3" x14ac:dyDescent="0.55000000000000004">
      <c r="B309" t="s">
        <v>655</v>
      </c>
      <c r="C309" t="s">
        <v>656</v>
      </c>
    </row>
    <row r="311" spans="2:3" x14ac:dyDescent="0.55000000000000004">
      <c r="B311" t="s">
        <v>661</v>
      </c>
      <c r="C311" t="s">
        <v>658</v>
      </c>
    </row>
    <row r="312" spans="2:3" x14ac:dyDescent="0.55000000000000004">
      <c r="C312" t="s">
        <v>659</v>
      </c>
    </row>
    <row r="313" spans="2:3" x14ac:dyDescent="0.55000000000000004">
      <c r="B313" t="s">
        <v>660</v>
      </c>
      <c r="C313" t="s">
        <v>662</v>
      </c>
    </row>
    <row r="314" spans="2:3" x14ac:dyDescent="0.55000000000000004">
      <c r="C314" t="s">
        <v>663</v>
      </c>
    </row>
    <row r="315" spans="2:3" x14ac:dyDescent="0.55000000000000004">
      <c r="C315" t="s">
        <v>664</v>
      </c>
    </row>
    <row r="316" spans="2:3" x14ac:dyDescent="0.55000000000000004">
      <c r="B316" t="s">
        <v>665</v>
      </c>
    </row>
    <row r="318" spans="2:3" x14ac:dyDescent="0.55000000000000004">
      <c r="B318" t="s">
        <v>666</v>
      </c>
      <c r="C318" t="s">
        <v>667</v>
      </c>
    </row>
    <row r="320" spans="2:3" x14ac:dyDescent="0.55000000000000004">
      <c r="B320" t="s">
        <v>669</v>
      </c>
    </row>
    <row r="321" spans="2:3" x14ac:dyDescent="0.55000000000000004">
      <c r="B321" t="s">
        <v>668</v>
      </c>
    </row>
    <row r="323" spans="2:3" x14ac:dyDescent="0.55000000000000004">
      <c r="B323" t="s">
        <v>670</v>
      </c>
    </row>
    <row r="324" spans="2:3" x14ac:dyDescent="0.55000000000000004">
      <c r="C324" t="s">
        <v>671</v>
      </c>
    </row>
    <row r="325" spans="2:3" x14ac:dyDescent="0.55000000000000004">
      <c r="C325" t="s">
        <v>672</v>
      </c>
    </row>
    <row r="326" spans="2:3" x14ac:dyDescent="0.55000000000000004">
      <c r="C326" t="s">
        <v>673</v>
      </c>
    </row>
    <row r="327" spans="2:3" x14ac:dyDescent="0.55000000000000004">
      <c r="B327" s="39">
        <v>2021</v>
      </c>
    </row>
    <row r="328" spans="2:3" x14ac:dyDescent="0.55000000000000004">
      <c r="C328" t="s">
        <v>674</v>
      </c>
    </row>
    <row r="329" spans="2:3" x14ac:dyDescent="0.55000000000000004">
      <c r="C329" t="s">
        <v>675</v>
      </c>
    </row>
    <row r="331" spans="2:3" x14ac:dyDescent="0.55000000000000004">
      <c r="B331" s="7" t="s">
        <v>676</v>
      </c>
    </row>
    <row r="333" spans="2:3" x14ac:dyDescent="0.55000000000000004">
      <c r="B333" t="s">
        <v>678</v>
      </c>
    </row>
    <row r="334" spans="2:3" x14ac:dyDescent="0.55000000000000004">
      <c r="B334" t="s">
        <v>677</v>
      </c>
    </row>
    <row r="335" spans="2:3" x14ac:dyDescent="0.55000000000000004">
      <c r="B335" t="s">
        <v>712</v>
      </c>
    </row>
    <row r="337" spans="2:4" x14ac:dyDescent="0.55000000000000004">
      <c r="B337" t="s">
        <v>713</v>
      </c>
    </row>
    <row r="338" spans="2:4" x14ac:dyDescent="0.55000000000000004">
      <c r="C338" t="s">
        <v>714</v>
      </c>
    </row>
    <row r="339" spans="2:4" x14ac:dyDescent="0.55000000000000004">
      <c r="C339" t="s">
        <v>715</v>
      </c>
    </row>
    <row r="340" spans="2:4" x14ac:dyDescent="0.55000000000000004">
      <c r="B340" t="s">
        <v>718</v>
      </c>
    </row>
    <row r="341" spans="2:4" x14ac:dyDescent="0.55000000000000004">
      <c r="C341" t="s">
        <v>716</v>
      </c>
    </row>
    <row r="343" spans="2:4" x14ac:dyDescent="0.55000000000000004">
      <c r="B343" t="s">
        <v>717</v>
      </c>
    </row>
    <row r="345" spans="2:4" x14ac:dyDescent="0.55000000000000004">
      <c r="B345" t="s">
        <v>720</v>
      </c>
    </row>
    <row r="347" spans="2:4" x14ac:dyDescent="0.55000000000000004">
      <c r="B347" t="s">
        <v>105</v>
      </c>
    </row>
    <row r="348" spans="2:4" x14ac:dyDescent="0.55000000000000004">
      <c r="C348" t="s">
        <v>721</v>
      </c>
    </row>
    <row r="349" spans="2:4" x14ac:dyDescent="0.55000000000000004">
      <c r="C349" t="s">
        <v>722</v>
      </c>
    </row>
    <row r="350" spans="2:4" x14ac:dyDescent="0.55000000000000004">
      <c r="D350" t="s">
        <v>723</v>
      </c>
    </row>
    <row r="351" spans="2:4" x14ac:dyDescent="0.55000000000000004">
      <c r="D351" t="s">
        <v>724</v>
      </c>
    </row>
    <row r="352" spans="2:4" x14ac:dyDescent="0.55000000000000004">
      <c r="C352" t="s">
        <v>725</v>
      </c>
    </row>
    <row r="353" spans="2:4" x14ac:dyDescent="0.55000000000000004">
      <c r="D353" t="s">
        <v>726</v>
      </c>
    </row>
    <row r="355" spans="2:4" x14ac:dyDescent="0.55000000000000004">
      <c r="B355" t="s">
        <v>679</v>
      </c>
    </row>
    <row r="357" spans="2:4" x14ac:dyDescent="0.55000000000000004">
      <c r="B357" t="s">
        <v>719</v>
      </c>
    </row>
    <row r="359" spans="2:4" x14ac:dyDescent="0.55000000000000004">
      <c r="B359" s="22" t="s">
        <v>433</v>
      </c>
    </row>
    <row r="361" spans="2:4" x14ac:dyDescent="0.55000000000000004">
      <c r="B361" t="s">
        <v>680</v>
      </c>
    </row>
    <row r="362" spans="2:4" x14ac:dyDescent="0.55000000000000004">
      <c r="C362" t="s">
        <v>681</v>
      </c>
    </row>
    <row r="363" spans="2:4" x14ac:dyDescent="0.55000000000000004">
      <c r="B363" t="s">
        <v>682</v>
      </c>
    </row>
    <row r="364" spans="2:4" x14ac:dyDescent="0.55000000000000004">
      <c r="C364" t="s">
        <v>683</v>
      </c>
    </row>
    <row r="365" spans="2:4" x14ac:dyDescent="0.55000000000000004">
      <c r="B365" t="s">
        <v>684</v>
      </c>
    </row>
    <row r="366" spans="2:4" x14ac:dyDescent="0.55000000000000004">
      <c r="C366" t="s">
        <v>685</v>
      </c>
    </row>
    <row r="367" spans="2:4" x14ac:dyDescent="0.55000000000000004">
      <c r="C367" t="s">
        <v>686</v>
      </c>
    </row>
    <row r="368" spans="2:4" x14ac:dyDescent="0.55000000000000004">
      <c r="D368" t="s">
        <v>687</v>
      </c>
    </row>
    <row r="369" spans="2:4" x14ac:dyDescent="0.55000000000000004">
      <c r="B369" t="s">
        <v>688</v>
      </c>
    </row>
    <row r="370" spans="2:4" x14ac:dyDescent="0.55000000000000004">
      <c r="C370" t="s">
        <v>689</v>
      </c>
    </row>
    <row r="371" spans="2:4" x14ac:dyDescent="0.55000000000000004">
      <c r="C371" t="s">
        <v>690</v>
      </c>
    </row>
    <row r="372" spans="2:4" x14ac:dyDescent="0.55000000000000004">
      <c r="B372" t="s">
        <v>691</v>
      </c>
    </row>
    <row r="373" spans="2:4" x14ac:dyDescent="0.55000000000000004">
      <c r="C373" t="s">
        <v>692</v>
      </c>
    </row>
    <row r="374" spans="2:4" x14ac:dyDescent="0.55000000000000004">
      <c r="C374" t="s">
        <v>693</v>
      </c>
    </row>
    <row r="375" spans="2:4" x14ac:dyDescent="0.55000000000000004">
      <c r="C375" t="s">
        <v>694</v>
      </c>
    </row>
    <row r="376" spans="2:4" x14ac:dyDescent="0.55000000000000004">
      <c r="B376" t="s">
        <v>695</v>
      </c>
    </row>
    <row r="378" spans="2:4" x14ac:dyDescent="0.55000000000000004">
      <c r="B378" t="s">
        <v>277</v>
      </c>
    </row>
    <row r="379" spans="2:4" x14ac:dyDescent="0.55000000000000004">
      <c r="C379" t="s">
        <v>696</v>
      </c>
    </row>
    <row r="380" spans="2:4" x14ac:dyDescent="0.55000000000000004">
      <c r="B380" t="s">
        <v>697</v>
      </c>
    </row>
    <row r="381" spans="2:4" x14ac:dyDescent="0.55000000000000004">
      <c r="B381" t="s">
        <v>698</v>
      </c>
    </row>
    <row r="382" spans="2:4" x14ac:dyDescent="0.55000000000000004">
      <c r="C382" t="s">
        <v>699</v>
      </c>
    </row>
    <row r="383" spans="2:4" x14ac:dyDescent="0.55000000000000004">
      <c r="C383" t="s">
        <v>700</v>
      </c>
    </row>
    <row r="384" spans="2:4" x14ac:dyDescent="0.55000000000000004">
      <c r="D384" t="s">
        <v>701</v>
      </c>
    </row>
    <row r="385" spans="2:13" x14ac:dyDescent="0.55000000000000004">
      <c r="B385" t="s">
        <v>702</v>
      </c>
      <c r="L385">
        <v>856</v>
      </c>
      <c r="M385">
        <v>1917</v>
      </c>
    </row>
    <row r="386" spans="2:13" x14ac:dyDescent="0.55000000000000004">
      <c r="C386" t="s">
        <v>703</v>
      </c>
      <c r="L386">
        <v>1209</v>
      </c>
      <c r="M386">
        <v>4141</v>
      </c>
    </row>
    <row r="387" spans="2:13" x14ac:dyDescent="0.55000000000000004">
      <c r="C387" t="s">
        <v>704</v>
      </c>
      <c r="L387">
        <f>L385+L386</f>
        <v>2065</v>
      </c>
      <c r="M387">
        <f>M385+M386</f>
        <v>6058</v>
      </c>
    </row>
    <row r="388" spans="2:13" x14ac:dyDescent="0.55000000000000004">
      <c r="C388" t="s">
        <v>705</v>
      </c>
      <c r="L388" s="2">
        <f>L385/L387</f>
        <v>0.41452784503631962</v>
      </c>
      <c r="M388" s="2">
        <f>M385/M387</f>
        <v>0.31644106965995378</v>
      </c>
    </row>
    <row r="389" spans="2:13" x14ac:dyDescent="0.55000000000000004">
      <c r="C389" t="s">
        <v>706</v>
      </c>
    </row>
    <row r="390" spans="2:13" x14ac:dyDescent="0.55000000000000004">
      <c r="B390" t="s">
        <v>707</v>
      </c>
    </row>
    <row r="391" spans="2:13" x14ac:dyDescent="0.55000000000000004">
      <c r="C391" t="s">
        <v>708</v>
      </c>
    </row>
    <row r="392" spans="2:13" x14ac:dyDescent="0.55000000000000004">
      <c r="D392" t="s">
        <v>709</v>
      </c>
    </row>
    <row r="393" spans="2:13" x14ac:dyDescent="0.55000000000000004">
      <c r="C393" t="s">
        <v>710</v>
      </c>
    </row>
    <row r="394" spans="2:13" x14ac:dyDescent="0.55000000000000004">
      <c r="C394" t="s">
        <v>711</v>
      </c>
    </row>
    <row r="396" spans="2:13" x14ac:dyDescent="0.55000000000000004">
      <c r="B396" s="7" t="s">
        <v>727</v>
      </c>
    </row>
    <row r="398" spans="2:13" x14ac:dyDescent="0.55000000000000004">
      <c r="B398" t="s">
        <v>732</v>
      </c>
    </row>
    <row r="399" spans="2:13" x14ac:dyDescent="0.55000000000000004">
      <c r="C399" t="s">
        <v>733</v>
      </c>
    </row>
    <row r="400" spans="2:13" x14ac:dyDescent="0.55000000000000004">
      <c r="B400" t="s">
        <v>728</v>
      </c>
    </row>
    <row r="401" spans="2:4" x14ac:dyDescent="0.55000000000000004">
      <c r="C401" t="s">
        <v>734</v>
      </c>
    </row>
    <row r="402" spans="2:4" x14ac:dyDescent="0.55000000000000004">
      <c r="B402" t="s">
        <v>735</v>
      </c>
    </row>
    <row r="404" spans="2:4" x14ac:dyDescent="0.55000000000000004">
      <c r="B404" t="s">
        <v>105</v>
      </c>
    </row>
    <row r="405" spans="2:4" x14ac:dyDescent="0.55000000000000004">
      <c r="C405" t="s">
        <v>730</v>
      </c>
    </row>
    <row r="406" spans="2:4" x14ac:dyDescent="0.55000000000000004">
      <c r="C406" t="s">
        <v>731</v>
      </c>
    </row>
    <row r="407" spans="2:4" x14ac:dyDescent="0.55000000000000004">
      <c r="B407" t="s">
        <v>729</v>
      </c>
    </row>
    <row r="409" spans="2:4" x14ac:dyDescent="0.55000000000000004">
      <c r="B409" t="s">
        <v>736</v>
      </c>
    </row>
    <row r="411" spans="2:4" x14ac:dyDescent="0.55000000000000004">
      <c r="B411" t="s">
        <v>18</v>
      </c>
    </row>
    <row r="412" spans="2:4" x14ac:dyDescent="0.55000000000000004">
      <c r="C412" t="s">
        <v>737</v>
      </c>
    </row>
    <row r="413" spans="2:4" x14ac:dyDescent="0.55000000000000004">
      <c r="D413" t="s">
        <v>743</v>
      </c>
    </row>
    <row r="414" spans="2:4" x14ac:dyDescent="0.55000000000000004">
      <c r="C414" t="s">
        <v>738</v>
      </c>
    </row>
    <row r="415" spans="2:4" x14ac:dyDescent="0.55000000000000004">
      <c r="C415" t="s">
        <v>745</v>
      </c>
    </row>
    <row r="416" spans="2:4" x14ac:dyDescent="0.55000000000000004">
      <c r="B416" t="s">
        <v>740</v>
      </c>
    </row>
    <row r="417" spans="2:6" x14ac:dyDescent="0.55000000000000004">
      <c r="E417" t="s">
        <v>750</v>
      </c>
      <c r="F417" t="s">
        <v>751</v>
      </c>
    </row>
    <row r="418" spans="2:6" x14ac:dyDescent="0.55000000000000004">
      <c r="D418" t="s">
        <v>752</v>
      </c>
    </row>
    <row r="419" spans="2:6" x14ac:dyDescent="0.55000000000000004">
      <c r="C419" t="s">
        <v>668</v>
      </c>
      <c r="D419" t="s">
        <v>4</v>
      </c>
    </row>
    <row r="420" spans="2:6" x14ac:dyDescent="0.55000000000000004">
      <c r="D420" t="s">
        <v>744</v>
      </c>
    </row>
    <row r="421" spans="2:6" x14ac:dyDescent="0.55000000000000004">
      <c r="C421" t="s">
        <v>741</v>
      </c>
      <c r="D421" t="s">
        <v>4</v>
      </c>
    </row>
    <row r="422" spans="2:6" x14ac:dyDescent="0.55000000000000004">
      <c r="D422" t="s">
        <v>744</v>
      </c>
    </row>
    <row r="424" spans="2:6" x14ac:dyDescent="0.55000000000000004">
      <c r="B424" t="s">
        <v>746</v>
      </c>
    </row>
    <row r="425" spans="2:6" x14ac:dyDescent="0.55000000000000004">
      <c r="C425" t="s">
        <v>747</v>
      </c>
    </row>
    <row r="426" spans="2:6" x14ac:dyDescent="0.55000000000000004">
      <c r="C426" t="s">
        <v>748</v>
      </c>
    </row>
    <row r="427" spans="2:6" x14ac:dyDescent="0.55000000000000004">
      <c r="C427" t="s">
        <v>749</v>
      </c>
    </row>
    <row r="428" spans="2:6" x14ac:dyDescent="0.55000000000000004">
      <c r="B428" t="s">
        <v>739</v>
      </c>
    </row>
    <row r="430" spans="2:6" x14ac:dyDescent="0.55000000000000004">
      <c r="B430" t="s">
        <v>742</v>
      </c>
    </row>
    <row r="432" spans="2:6" x14ac:dyDescent="0.55000000000000004">
      <c r="B432" t="s">
        <v>753</v>
      </c>
    </row>
    <row r="433" spans="2:5" x14ac:dyDescent="0.55000000000000004">
      <c r="C433" t="s">
        <v>754</v>
      </c>
    </row>
    <row r="434" spans="2:5" x14ac:dyDescent="0.55000000000000004">
      <c r="C434" t="s">
        <v>755</v>
      </c>
    </row>
    <row r="435" spans="2:5" x14ac:dyDescent="0.55000000000000004">
      <c r="C435" t="s">
        <v>756</v>
      </c>
      <c r="D435" t="s">
        <v>757</v>
      </c>
    </row>
    <row r="436" spans="2:5" x14ac:dyDescent="0.55000000000000004">
      <c r="C436" t="s">
        <v>758</v>
      </c>
      <c r="D436" t="s">
        <v>760</v>
      </c>
    </row>
    <row r="437" spans="2:5" x14ac:dyDescent="0.55000000000000004">
      <c r="C437" t="s">
        <v>759</v>
      </c>
      <c r="D437" t="s">
        <v>761</v>
      </c>
    </row>
    <row r="438" spans="2:5" x14ac:dyDescent="0.55000000000000004">
      <c r="B438" t="s">
        <v>762</v>
      </c>
    </row>
    <row r="439" spans="2:5" x14ac:dyDescent="0.55000000000000004">
      <c r="C439" t="s">
        <v>763</v>
      </c>
    </row>
    <row r="440" spans="2:5" x14ac:dyDescent="0.55000000000000004">
      <c r="C440" t="s">
        <v>764</v>
      </c>
    </row>
    <row r="441" spans="2:5" x14ac:dyDescent="0.55000000000000004">
      <c r="C441" t="s">
        <v>765</v>
      </c>
    </row>
    <row r="442" spans="2:5" x14ac:dyDescent="0.55000000000000004">
      <c r="D442" t="s">
        <v>766</v>
      </c>
    </row>
    <row r="443" spans="2:5" x14ac:dyDescent="0.55000000000000004">
      <c r="B443" t="s">
        <v>767</v>
      </c>
    </row>
    <row r="445" spans="2:5" x14ac:dyDescent="0.55000000000000004">
      <c r="B445" t="s">
        <v>768</v>
      </c>
    </row>
    <row r="446" spans="2:5" x14ac:dyDescent="0.55000000000000004">
      <c r="C446" t="s">
        <v>769</v>
      </c>
      <c r="E446" t="s">
        <v>770</v>
      </c>
    </row>
    <row r="447" spans="2:5" x14ac:dyDescent="0.55000000000000004">
      <c r="E447" t="s">
        <v>771</v>
      </c>
    </row>
    <row r="448" spans="2:5" x14ac:dyDescent="0.55000000000000004">
      <c r="B448" t="s">
        <v>772</v>
      </c>
    </row>
    <row r="449" spans="2:3" x14ac:dyDescent="0.55000000000000004">
      <c r="C449" t="s">
        <v>773</v>
      </c>
    </row>
    <row r="450" spans="2:3" x14ac:dyDescent="0.55000000000000004">
      <c r="B450" t="s">
        <v>736</v>
      </c>
    </row>
    <row r="451" spans="2:3" x14ac:dyDescent="0.55000000000000004">
      <c r="C451" t="s">
        <v>774</v>
      </c>
    </row>
    <row r="452" spans="2:3" x14ac:dyDescent="0.55000000000000004">
      <c r="C452" t="s">
        <v>775</v>
      </c>
    </row>
    <row r="453" spans="2:3" x14ac:dyDescent="0.55000000000000004">
      <c r="C453" t="s">
        <v>776</v>
      </c>
    </row>
    <row r="454" spans="2:3" x14ac:dyDescent="0.55000000000000004">
      <c r="C454" t="s">
        <v>777</v>
      </c>
    </row>
    <row r="455" spans="2:3" x14ac:dyDescent="0.55000000000000004">
      <c r="B455" t="s">
        <v>778</v>
      </c>
    </row>
    <row r="457" spans="2:3" x14ac:dyDescent="0.55000000000000004">
      <c r="B457" s="144">
        <v>44736</v>
      </c>
    </row>
    <row r="459" spans="2:3" x14ac:dyDescent="0.55000000000000004">
      <c r="B459" s="22" t="s">
        <v>799</v>
      </c>
    </row>
    <row r="460" spans="2:3" x14ac:dyDescent="0.55000000000000004">
      <c r="B460" s="22"/>
    </row>
    <row r="461" spans="2:3" x14ac:dyDescent="0.55000000000000004">
      <c r="B461" t="s">
        <v>796</v>
      </c>
    </row>
    <row r="462" spans="2:3" x14ac:dyDescent="0.55000000000000004">
      <c r="C462" t="s">
        <v>797</v>
      </c>
    </row>
    <row r="463" spans="2:3" x14ac:dyDescent="0.55000000000000004">
      <c r="C463" t="s">
        <v>798</v>
      </c>
    </row>
    <row r="464" spans="2:3" x14ac:dyDescent="0.55000000000000004">
      <c r="B464" t="s">
        <v>826</v>
      </c>
    </row>
    <row r="465" spans="2:4" x14ac:dyDescent="0.55000000000000004">
      <c r="C465" t="s">
        <v>827</v>
      </c>
    </row>
    <row r="466" spans="2:4" x14ac:dyDescent="0.55000000000000004">
      <c r="C466" t="s">
        <v>828</v>
      </c>
    </row>
    <row r="467" spans="2:4" x14ac:dyDescent="0.55000000000000004">
      <c r="C467" t="s">
        <v>829</v>
      </c>
    </row>
    <row r="468" spans="2:4" x14ac:dyDescent="0.55000000000000004">
      <c r="C468" t="s">
        <v>830</v>
      </c>
    </row>
    <row r="469" spans="2:4" x14ac:dyDescent="0.55000000000000004">
      <c r="C469" t="s">
        <v>831</v>
      </c>
    </row>
    <row r="470" spans="2:4" x14ac:dyDescent="0.55000000000000004">
      <c r="D470" t="s">
        <v>833</v>
      </c>
    </row>
    <row r="472" spans="2:4" x14ac:dyDescent="0.55000000000000004">
      <c r="B472" t="s">
        <v>800</v>
      </c>
    </row>
    <row r="473" spans="2:4" x14ac:dyDescent="0.55000000000000004">
      <c r="C473" t="s">
        <v>801</v>
      </c>
    </row>
    <row r="474" spans="2:4" x14ac:dyDescent="0.55000000000000004">
      <c r="C474" t="s">
        <v>802</v>
      </c>
    </row>
    <row r="475" spans="2:4" x14ac:dyDescent="0.55000000000000004">
      <c r="C475" t="s">
        <v>803</v>
      </c>
    </row>
    <row r="476" spans="2:4" x14ac:dyDescent="0.55000000000000004">
      <c r="B476" t="s">
        <v>23</v>
      </c>
    </row>
    <row r="477" spans="2:4" x14ac:dyDescent="0.55000000000000004">
      <c r="C477" t="s">
        <v>832</v>
      </c>
    </row>
    <row r="479" spans="2:4" x14ac:dyDescent="0.55000000000000004">
      <c r="B479" t="s">
        <v>804</v>
      </c>
    </row>
    <row r="480" spans="2:4" x14ac:dyDescent="0.55000000000000004">
      <c r="C480" t="s">
        <v>805</v>
      </c>
    </row>
    <row r="481" spans="2:5" x14ac:dyDescent="0.55000000000000004">
      <c r="B481" t="s">
        <v>806</v>
      </c>
    </row>
    <row r="482" spans="2:5" x14ac:dyDescent="0.55000000000000004">
      <c r="C482" t="s">
        <v>807</v>
      </c>
    </row>
    <row r="483" spans="2:5" x14ac:dyDescent="0.55000000000000004">
      <c r="B483" t="s">
        <v>808</v>
      </c>
    </row>
    <row r="485" spans="2:5" x14ac:dyDescent="0.55000000000000004">
      <c r="B485" s="7" t="s">
        <v>811</v>
      </c>
      <c r="C485" s="7" t="s">
        <v>813</v>
      </c>
      <c r="D485" s="7" t="s">
        <v>812</v>
      </c>
      <c r="E485" s="7" t="s">
        <v>814</v>
      </c>
    </row>
    <row r="486" spans="2:5" x14ac:dyDescent="0.55000000000000004">
      <c r="B486" t="s">
        <v>283</v>
      </c>
      <c r="D486" t="s">
        <v>809</v>
      </c>
      <c r="E486" t="s">
        <v>815</v>
      </c>
    </row>
    <row r="487" spans="2:5" x14ac:dyDescent="0.55000000000000004">
      <c r="B487" t="s">
        <v>61</v>
      </c>
      <c r="D487" t="s">
        <v>810</v>
      </c>
    </row>
    <row r="489" spans="2:5" x14ac:dyDescent="0.55000000000000004">
      <c r="B489" s="7" t="s">
        <v>736</v>
      </c>
    </row>
    <row r="490" spans="2:5" x14ac:dyDescent="0.55000000000000004">
      <c r="C490" t="s">
        <v>816</v>
      </c>
    </row>
    <row r="491" spans="2:5" x14ac:dyDescent="0.55000000000000004">
      <c r="C491" t="s">
        <v>817</v>
      </c>
    </row>
    <row r="492" spans="2:5" x14ac:dyDescent="0.55000000000000004">
      <c r="D492" s="7" t="s">
        <v>820</v>
      </c>
    </row>
    <row r="493" spans="2:5" x14ac:dyDescent="0.55000000000000004">
      <c r="D493" t="s">
        <v>818</v>
      </c>
    </row>
    <row r="494" spans="2:5" x14ac:dyDescent="0.55000000000000004">
      <c r="D494" t="s">
        <v>819</v>
      </c>
    </row>
    <row r="495" spans="2:5" x14ac:dyDescent="0.55000000000000004">
      <c r="D495" s="7" t="s">
        <v>821</v>
      </c>
    </row>
    <row r="496" spans="2:5" x14ac:dyDescent="0.55000000000000004">
      <c r="D496" t="s">
        <v>822</v>
      </c>
    </row>
    <row r="497" spans="2:3" x14ac:dyDescent="0.55000000000000004">
      <c r="B497" s="7" t="s">
        <v>112</v>
      </c>
    </row>
    <row r="498" spans="2:3" x14ac:dyDescent="0.55000000000000004">
      <c r="B498" t="s">
        <v>823</v>
      </c>
    </row>
    <row r="499" spans="2:3" x14ac:dyDescent="0.55000000000000004">
      <c r="B499" t="s">
        <v>3</v>
      </c>
    </row>
    <row r="500" spans="2:3" x14ac:dyDescent="0.55000000000000004">
      <c r="C500" t="s">
        <v>824</v>
      </c>
    </row>
    <row r="501" spans="2:3" x14ac:dyDescent="0.55000000000000004">
      <c r="C501" t="s">
        <v>825</v>
      </c>
    </row>
    <row r="502" spans="2:3" x14ac:dyDescent="0.55000000000000004">
      <c r="B502" s="7" t="s">
        <v>834</v>
      </c>
    </row>
    <row r="504" spans="2:3" x14ac:dyDescent="0.55000000000000004">
      <c r="B504" s="22" t="s">
        <v>845</v>
      </c>
    </row>
    <row r="506" spans="2:3" x14ac:dyDescent="0.55000000000000004">
      <c r="B506" t="s">
        <v>846</v>
      </c>
      <c r="C506" t="s">
        <v>847</v>
      </c>
    </row>
    <row r="507" spans="2:3" x14ac:dyDescent="0.55000000000000004">
      <c r="B507" t="s">
        <v>75</v>
      </c>
    </row>
    <row r="508" spans="2:3" x14ac:dyDescent="0.55000000000000004">
      <c r="C508" t="s">
        <v>848</v>
      </c>
    </row>
    <row r="509" spans="2:3" x14ac:dyDescent="0.55000000000000004">
      <c r="C509" t="s">
        <v>849</v>
      </c>
    </row>
    <row r="510" spans="2:3" x14ac:dyDescent="0.55000000000000004">
      <c r="B510" t="s">
        <v>850</v>
      </c>
    </row>
    <row r="511" spans="2:3" x14ac:dyDescent="0.55000000000000004">
      <c r="C511" t="s">
        <v>851</v>
      </c>
    </row>
    <row r="512" spans="2:3" x14ac:dyDescent="0.55000000000000004">
      <c r="C512" t="s">
        <v>852</v>
      </c>
    </row>
    <row r="513" spans="2:4" x14ac:dyDescent="0.55000000000000004">
      <c r="C513" t="s">
        <v>853</v>
      </c>
    </row>
    <row r="517" spans="2:4" x14ac:dyDescent="0.55000000000000004">
      <c r="D517" t="s">
        <v>854</v>
      </c>
    </row>
    <row r="519" spans="2:4" x14ac:dyDescent="0.55000000000000004">
      <c r="B519" t="s">
        <v>855</v>
      </c>
    </row>
    <row r="521" spans="2:4" x14ac:dyDescent="0.55000000000000004">
      <c r="B521" t="s">
        <v>856</v>
      </c>
    </row>
    <row r="522" spans="2:4" x14ac:dyDescent="0.55000000000000004">
      <c r="C522" t="s">
        <v>857</v>
      </c>
    </row>
    <row r="523" spans="2:4" x14ac:dyDescent="0.55000000000000004">
      <c r="B523" t="s">
        <v>846</v>
      </c>
    </row>
    <row r="524" spans="2:4" x14ac:dyDescent="0.55000000000000004">
      <c r="C524" s="2">
        <f>Quarts!Q162/Quarts!Q15</f>
        <v>0.20717848454215218</v>
      </c>
    </row>
    <row r="525" spans="2:4" x14ac:dyDescent="0.55000000000000004">
      <c r="B525" t="s">
        <v>858</v>
      </c>
    </row>
    <row r="526" spans="2:4" x14ac:dyDescent="0.55000000000000004">
      <c r="C526" t="s">
        <v>859</v>
      </c>
    </row>
    <row r="527" spans="2:4" x14ac:dyDescent="0.55000000000000004">
      <c r="C527" t="s">
        <v>860</v>
      </c>
    </row>
    <row r="528" spans="2:4" x14ac:dyDescent="0.55000000000000004">
      <c r="C528" t="s">
        <v>861</v>
      </c>
    </row>
    <row r="529" spans="2:5" x14ac:dyDescent="0.55000000000000004">
      <c r="D529">
        <v>146</v>
      </c>
      <c r="E529" t="s">
        <v>843</v>
      </c>
    </row>
    <row r="530" spans="2:5" x14ac:dyDescent="0.55000000000000004">
      <c r="B530" t="s">
        <v>868</v>
      </c>
    </row>
    <row r="532" spans="2:5" x14ac:dyDescent="0.55000000000000004">
      <c r="B532" t="s">
        <v>110</v>
      </c>
    </row>
    <row r="535" spans="2:5" x14ac:dyDescent="0.55000000000000004">
      <c r="B535" s="7" t="s">
        <v>433</v>
      </c>
    </row>
    <row r="536" spans="2:5" x14ac:dyDescent="0.55000000000000004">
      <c r="C536" t="s">
        <v>863</v>
      </c>
    </row>
    <row r="538" spans="2:5" x14ac:dyDescent="0.55000000000000004">
      <c r="C538" t="s">
        <v>862</v>
      </c>
    </row>
    <row r="539" spans="2:5" x14ac:dyDescent="0.55000000000000004">
      <c r="D539" t="s">
        <v>872</v>
      </c>
    </row>
    <row r="540" spans="2:5" x14ac:dyDescent="0.55000000000000004">
      <c r="D540" t="s">
        <v>873</v>
      </c>
    </row>
    <row r="542" spans="2:5" x14ac:dyDescent="0.55000000000000004">
      <c r="C542" t="s">
        <v>864</v>
      </c>
    </row>
    <row r="543" spans="2:5" x14ac:dyDescent="0.55000000000000004">
      <c r="D543" t="s">
        <v>869</v>
      </c>
    </row>
    <row r="544" spans="2:5" x14ac:dyDescent="0.55000000000000004">
      <c r="C544" t="s">
        <v>865</v>
      </c>
    </row>
    <row r="545" spans="2:7" x14ac:dyDescent="0.55000000000000004">
      <c r="D545" t="s">
        <v>866</v>
      </c>
    </row>
    <row r="546" spans="2:7" x14ac:dyDescent="0.55000000000000004">
      <c r="C546" t="s">
        <v>867</v>
      </c>
    </row>
    <row r="548" spans="2:7" x14ac:dyDescent="0.55000000000000004">
      <c r="C548" t="s">
        <v>870</v>
      </c>
    </row>
    <row r="550" spans="2:7" x14ac:dyDescent="0.55000000000000004">
      <c r="C550" t="s">
        <v>871</v>
      </c>
    </row>
    <row r="552" spans="2:7" x14ac:dyDescent="0.55000000000000004">
      <c r="C552" t="s">
        <v>878</v>
      </c>
    </row>
    <row r="553" spans="2:7" x14ac:dyDescent="0.55000000000000004">
      <c r="D553" t="s">
        <v>879</v>
      </c>
      <c r="G553" s="2">
        <f>Quarts!Q162/Quarts!P162-1</f>
        <v>0.8712374581939788</v>
      </c>
    </row>
    <row r="554" spans="2:7" x14ac:dyDescent="0.55000000000000004">
      <c r="D554" t="s">
        <v>880</v>
      </c>
    </row>
    <row r="556" spans="2:7" x14ac:dyDescent="0.55000000000000004">
      <c r="B556" t="s">
        <v>75</v>
      </c>
    </row>
    <row r="557" spans="2:7" x14ac:dyDescent="0.55000000000000004">
      <c r="C557" t="s">
        <v>874</v>
      </c>
    </row>
    <row r="558" spans="2:7" x14ac:dyDescent="0.55000000000000004">
      <c r="C558" t="s">
        <v>875</v>
      </c>
    </row>
    <row r="559" spans="2:7" x14ac:dyDescent="0.55000000000000004">
      <c r="C559" t="s">
        <v>876</v>
      </c>
    </row>
    <row r="560" spans="2:7" x14ac:dyDescent="0.55000000000000004">
      <c r="C560" t="s">
        <v>877</v>
      </c>
    </row>
    <row r="561" spans="2:4" x14ac:dyDescent="0.55000000000000004">
      <c r="C561" t="s">
        <v>881</v>
      </c>
    </row>
    <row r="562" spans="2:4" x14ac:dyDescent="0.55000000000000004">
      <c r="C562" t="s">
        <v>882</v>
      </c>
    </row>
    <row r="564" spans="2:4" x14ac:dyDescent="0.55000000000000004">
      <c r="C564" t="s">
        <v>883</v>
      </c>
    </row>
    <row r="565" spans="2:4" x14ac:dyDescent="0.55000000000000004">
      <c r="D565" t="s">
        <v>884</v>
      </c>
    </row>
    <row r="566" spans="2:4" x14ac:dyDescent="0.55000000000000004">
      <c r="C566" t="s">
        <v>885</v>
      </c>
    </row>
    <row r="567" spans="2:4" x14ac:dyDescent="0.55000000000000004">
      <c r="B567" t="s">
        <v>886</v>
      </c>
    </row>
    <row r="568" spans="2:4" x14ac:dyDescent="0.55000000000000004">
      <c r="C568" t="s">
        <v>887</v>
      </c>
    </row>
    <row r="569" spans="2:4" x14ac:dyDescent="0.55000000000000004">
      <c r="B569" t="s">
        <v>888</v>
      </c>
    </row>
    <row r="570" spans="2:4" x14ac:dyDescent="0.55000000000000004">
      <c r="C570" t="s">
        <v>889</v>
      </c>
    </row>
    <row r="571" spans="2:4" x14ac:dyDescent="0.55000000000000004">
      <c r="C571" t="s">
        <v>890</v>
      </c>
    </row>
    <row r="572" spans="2:4" x14ac:dyDescent="0.55000000000000004">
      <c r="B572" t="s">
        <v>219</v>
      </c>
    </row>
    <row r="573" spans="2:4" x14ac:dyDescent="0.55000000000000004">
      <c r="C573" t="s">
        <v>891</v>
      </c>
    </row>
    <row r="574" spans="2:4" x14ac:dyDescent="0.55000000000000004">
      <c r="B574" t="s">
        <v>892</v>
      </c>
    </row>
    <row r="575" spans="2:4" x14ac:dyDescent="0.55000000000000004">
      <c r="C575" t="s">
        <v>893</v>
      </c>
    </row>
    <row r="576" spans="2:4" x14ac:dyDescent="0.55000000000000004">
      <c r="C576" t="s">
        <v>843</v>
      </c>
    </row>
    <row r="577" spans="2:3" x14ac:dyDescent="0.55000000000000004">
      <c r="C577" t="s">
        <v>894</v>
      </c>
    </row>
    <row r="578" spans="2:3" x14ac:dyDescent="0.55000000000000004">
      <c r="B578" t="s">
        <v>895</v>
      </c>
    </row>
    <row r="579" spans="2:3" x14ac:dyDescent="0.55000000000000004">
      <c r="C579" t="s">
        <v>896</v>
      </c>
    </row>
    <row r="580" spans="2:3" x14ac:dyDescent="0.55000000000000004">
      <c r="C580" t="s">
        <v>897</v>
      </c>
    </row>
    <row r="581" spans="2:3" x14ac:dyDescent="0.55000000000000004">
      <c r="B581" t="s">
        <v>878</v>
      </c>
    </row>
    <row r="582" spans="2:3" x14ac:dyDescent="0.55000000000000004">
      <c r="C582" t="s">
        <v>900</v>
      </c>
    </row>
    <row r="583" spans="2:3" x14ac:dyDescent="0.55000000000000004">
      <c r="B583" t="s">
        <v>898</v>
      </c>
    </row>
    <row r="584" spans="2:3" x14ac:dyDescent="0.55000000000000004">
      <c r="C584" t="s">
        <v>899</v>
      </c>
    </row>
    <row r="585" spans="2:3" x14ac:dyDescent="0.55000000000000004">
      <c r="C585" t="s">
        <v>901</v>
      </c>
    </row>
    <row r="586" spans="2:3" x14ac:dyDescent="0.55000000000000004">
      <c r="B586" t="s">
        <v>902</v>
      </c>
    </row>
    <row r="587" spans="2:3" x14ac:dyDescent="0.55000000000000004">
      <c r="C587" t="s">
        <v>903</v>
      </c>
    </row>
    <row r="588" spans="2:3" x14ac:dyDescent="0.55000000000000004">
      <c r="C588" t="s">
        <v>904</v>
      </c>
    </row>
    <row r="589" spans="2:3" x14ac:dyDescent="0.55000000000000004">
      <c r="C589" t="s">
        <v>909</v>
      </c>
    </row>
    <row r="590" spans="2:3" x14ac:dyDescent="0.55000000000000004">
      <c r="C590" t="s">
        <v>910</v>
      </c>
    </row>
    <row r="591" spans="2:3" x14ac:dyDescent="0.55000000000000004">
      <c r="B591" t="s">
        <v>905</v>
      </c>
    </row>
    <row r="592" spans="2:3" x14ac:dyDescent="0.55000000000000004">
      <c r="C592" t="s">
        <v>906</v>
      </c>
    </row>
    <row r="593" spans="2:4" x14ac:dyDescent="0.55000000000000004">
      <c r="C593" t="s">
        <v>907</v>
      </c>
    </row>
    <row r="594" spans="2:4" x14ac:dyDescent="0.55000000000000004">
      <c r="C594" t="s">
        <v>908</v>
      </c>
    </row>
    <row r="595" spans="2:4" x14ac:dyDescent="0.55000000000000004">
      <c r="B595" t="s">
        <v>911</v>
      </c>
    </row>
    <row r="596" spans="2:4" x14ac:dyDescent="0.55000000000000004">
      <c r="C596" t="s">
        <v>912</v>
      </c>
    </row>
    <row r="597" spans="2:4" x14ac:dyDescent="0.55000000000000004">
      <c r="C597" t="s">
        <v>913</v>
      </c>
    </row>
    <row r="598" spans="2:4" x14ac:dyDescent="0.55000000000000004">
      <c r="D598" t="s">
        <v>914</v>
      </c>
    </row>
    <row r="599" spans="2:4" x14ac:dyDescent="0.55000000000000004">
      <c r="C599" t="s">
        <v>915</v>
      </c>
    </row>
    <row r="600" spans="2:4" x14ac:dyDescent="0.55000000000000004">
      <c r="C600" t="s">
        <v>916</v>
      </c>
    </row>
    <row r="601" spans="2:4" x14ac:dyDescent="0.55000000000000004">
      <c r="B601" t="s">
        <v>333</v>
      </c>
    </row>
    <row r="602" spans="2:4" x14ac:dyDescent="0.55000000000000004">
      <c r="C602" t="s">
        <v>917</v>
      </c>
    </row>
    <row r="603" spans="2:4" x14ac:dyDescent="0.55000000000000004">
      <c r="C603" t="s">
        <v>918</v>
      </c>
    </row>
    <row r="604" spans="2:4" x14ac:dyDescent="0.55000000000000004">
      <c r="B604" t="s">
        <v>919</v>
      </c>
    </row>
    <row r="605" spans="2:4" x14ac:dyDescent="0.55000000000000004">
      <c r="C605" t="s">
        <v>920</v>
      </c>
    </row>
    <row r="607" spans="2:4" x14ac:dyDescent="0.55000000000000004">
      <c r="B607" s="10" t="s">
        <v>970</v>
      </c>
    </row>
    <row r="609" spans="2:5" x14ac:dyDescent="0.55000000000000004">
      <c r="B609" t="s">
        <v>972</v>
      </c>
    </row>
    <row r="610" spans="2:5" x14ac:dyDescent="0.55000000000000004">
      <c r="B610" t="s">
        <v>23</v>
      </c>
    </row>
    <row r="611" spans="2:5" x14ac:dyDescent="0.55000000000000004">
      <c r="C611" t="s">
        <v>973</v>
      </c>
    </row>
    <row r="612" spans="2:5" x14ac:dyDescent="0.55000000000000004">
      <c r="C612" t="s">
        <v>974</v>
      </c>
    </row>
    <row r="613" spans="2:5" x14ac:dyDescent="0.55000000000000004">
      <c r="B613" t="s">
        <v>971</v>
      </c>
    </row>
    <row r="615" spans="2:5" x14ac:dyDescent="0.55000000000000004">
      <c r="B615" t="s">
        <v>975</v>
      </c>
    </row>
    <row r="616" spans="2:5" x14ac:dyDescent="0.55000000000000004">
      <c r="C616" t="s">
        <v>976</v>
      </c>
    </row>
    <row r="617" spans="2:5" x14ac:dyDescent="0.55000000000000004">
      <c r="D617" t="s">
        <v>977</v>
      </c>
    </row>
    <row r="618" spans="2:5" x14ac:dyDescent="0.55000000000000004">
      <c r="C618" t="s">
        <v>978</v>
      </c>
    </row>
    <row r="619" spans="2:5" x14ac:dyDescent="0.55000000000000004">
      <c r="C619" t="s">
        <v>979</v>
      </c>
    </row>
    <row r="620" spans="2:5" x14ac:dyDescent="0.55000000000000004">
      <c r="C620" t="s">
        <v>980</v>
      </c>
      <c r="D620">
        <v>2019</v>
      </c>
      <c r="E620" t="s">
        <v>981</v>
      </c>
    </row>
    <row r="622" spans="2:5" x14ac:dyDescent="0.55000000000000004">
      <c r="C622" t="s">
        <v>982</v>
      </c>
    </row>
    <row r="623" spans="2:5" x14ac:dyDescent="0.55000000000000004">
      <c r="D623" t="s">
        <v>976</v>
      </c>
    </row>
    <row r="624" spans="2:5" x14ac:dyDescent="0.55000000000000004">
      <c r="D624" t="s">
        <v>983</v>
      </c>
    </row>
    <row r="625" spans="2:12" x14ac:dyDescent="0.55000000000000004">
      <c r="D625">
        <v>2019</v>
      </c>
      <c r="E625" t="s">
        <v>984</v>
      </c>
      <c r="G625">
        <v>138</v>
      </c>
      <c r="H625" t="s">
        <v>985</v>
      </c>
      <c r="L625" t="s">
        <v>987</v>
      </c>
    </row>
    <row r="626" spans="2:12" x14ac:dyDescent="0.55000000000000004">
      <c r="G626">
        <v>56</v>
      </c>
      <c r="H626" t="s">
        <v>986</v>
      </c>
    </row>
    <row r="627" spans="2:12" x14ac:dyDescent="0.55000000000000004">
      <c r="B627" t="s">
        <v>988</v>
      </c>
    </row>
    <row r="628" spans="2:12" x14ac:dyDescent="0.55000000000000004">
      <c r="C628" t="s">
        <v>989</v>
      </c>
    </row>
    <row r="629" spans="2:12" x14ac:dyDescent="0.55000000000000004">
      <c r="C629" t="s">
        <v>990</v>
      </c>
    </row>
    <row r="630" spans="2:12" x14ac:dyDescent="0.55000000000000004">
      <c r="D630" t="s">
        <v>991</v>
      </c>
    </row>
    <row r="631" spans="2:12" x14ac:dyDescent="0.55000000000000004">
      <c r="D631" t="s">
        <v>992</v>
      </c>
    </row>
    <row r="632" spans="2:12" x14ac:dyDescent="0.55000000000000004">
      <c r="D632" t="s">
        <v>993</v>
      </c>
    </row>
    <row r="633" spans="2:12" x14ac:dyDescent="0.55000000000000004">
      <c r="C633" t="s">
        <v>994</v>
      </c>
    </row>
    <row r="634" spans="2:12" x14ac:dyDescent="0.55000000000000004">
      <c r="C634" t="s">
        <v>995</v>
      </c>
    </row>
    <row r="635" spans="2:12" x14ac:dyDescent="0.55000000000000004">
      <c r="B635" t="s">
        <v>642</v>
      </c>
    </row>
    <row r="636" spans="2:12" x14ac:dyDescent="0.55000000000000004">
      <c r="C636" t="s">
        <v>996</v>
      </c>
    </row>
    <row r="637" spans="2:12" x14ac:dyDescent="0.55000000000000004">
      <c r="C637" t="s">
        <v>997</v>
      </c>
    </row>
    <row r="638" spans="2:12" x14ac:dyDescent="0.55000000000000004">
      <c r="C638" t="s">
        <v>998</v>
      </c>
    </row>
    <row r="640" spans="2:12" x14ac:dyDescent="0.55000000000000004">
      <c r="C640" t="s">
        <v>999</v>
      </c>
    </row>
    <row r="641" spans="2:5" x14ac:dyDescent="0.55000000000000004">
      <c r="C641" t="s">
        <v>1000</v>
      </c>
    </row>
    <row r="642" spans="2:5" x14ac:dyDescent="0.55000000000000004">
      <c r="C642" t="s">
        <v>1001</v>
      </c>
      <c r="D642" s="2">
        <v>0.04</v>
      </c>
      <c r="E642" t="s">
        <v>1003</v>
      </c>
    </row>
    <row r="643" spans="2:5" x14ac:dyDescent="0.55000000000000004">
      <c r="C643" t="s">
        <v>1002</v>
      </c>
      <c r="D643" s="2">
        <v>0.02</v>
      </c>
    </row>
    <row r="644" spans="2:5" x14ac:dyDescent="0.55000000000000004">
      <c r="D644" t="s">
        <v>1004</v>
      </c>
    </row>
    <row r="645" spans="2:5" x14ac:dyDescent="0.55000000000000004">
      <c r="D645" t="s">
        <v>1005</v>
      </c>
    </row>
    <row r="646" spans="2:5" x14ac:dyDescent="0.55000000000000004">
      <c r="B646" t="s">
        <v>1006</v>
      </c>
    </row>
    <row r="648" spans="2:5" x14ac:dyDescent="0.55000000000000004">
      <c r="B648" s="22" t="s">
        <v>1011</v>
      </c>
    </row>
    <row r="650" spans="2:5" x14ac:dyDescent="0.55000000000000004">
      <c r="B650" t="s">
        <v>1012</v>
      </c>
    </row>
    <row r="651" spans="2:5" x14ac:dyDescent="0.55000000000000004">
      <c r="C651" t="s">
        <v>1013</v>
      </c>
    </row>
    <row r="652" spans="2:5" x14ac:dyDescent="0.55000000000000004">
      <c r="D652" t="s">
        <v>1014</v>
      </c>
    </row>
    <row r="653" spans="2:5" x14ac:dyDescent="0.55000000000000004">
      <c r="D653" t="s">
        <v>1017</v>
      </c>
    </row>
    <row r="654" spans="2:5" x14ac:dyDescent="0.55000000000000004">
      <c r="C654" t="s">
        <v>1015</v>
      </c>
    </row>
    <row r="655" spans="2:5" x14ac:dyDescent="0.55000000000000004">
      <c r="C655" t="s">
        <v>1016</v>
      </c>
    </row>
    <row r="656" spans="2:5" x14ac:dyDescent="0.55000000000000004">
      <c r="B656" t="s">
        <v>1018</v>
      </c>
    </row>
    <row r="657" spans="3:6" x14ac:dyDescent="0.55000000000000004">
      <c r="C657" t="s">
        <v>1019</v>
      </c>
    </row>
    <row r="658" spans="3:6" x14ac:dyDescent="0.55000000000000004">
      <c r="D658" t="s">
        <v>1020</v>
      </c>
    </row>
    <row r="659" spans="3:6" x14ac:dyDescent="0.55000000000000004">
      <c r="D659" t="s">
        <v>1021</v>
      </c>
    </row>
    <row r="660" spans="3:6" x14ac:dyDescent="0.55000000000000004">
      <c r="C660" t="s">
        <v>1022</v>
      </c>
    </row>
    <row r="662" spans="3:6" x14ac:dyDescent="0.55000000000000004">
      <c r="C662">
        <v>6856</v>
      </c>
      <c r="D662" t="s">
        <v>1023</v>
      </c>
      <c r="F662" t="s">
        <v>1029</v>
      </c>
    </row>
    <row r="663" spans="3:6" x14ac:dyDescent="0.55000000000000004">
      <c r="C663">
        <v>7691</v>
      </c>
      <c r="D663" t="s">
        <v>1024</v>
      </c>
    </row>
    <row r="665" spans="3:6" x14ac:dyDescent="0.55000000000000004">
      <c r="C665">
        <v>386</v>
      </c>
      <c r="D665" t="s">
        <v>1025</v>
      </c>
      <c r="E665" s="3">
        <f>(C665/1000)/Quarts!Q35</f>
        <v>3.449508489722967E-3</v>
      </c>
    </row>
    <row r="666" spans="3:6" x14ac:dyDescent="0.55000000000000004">
      <c r="C666">
        <f>C662-C665</f>
        <v>6470</v>
      </c>
      <c r="F666" t="s">
        <v>1030</v>
      </c>
    </row>
    <row r="667" spans="3:6" x14ac:dyDescent="0.55000000000000004">
      <c r="C667" t="s">
        <v>1026</v>
      </c>
    </row>
    <row r="669" spans="3:6" x14ac:dyDescent="0.55000000000000004">
      <c r="C669">
        <f>C665-C663</f>
        <v>-7305</v>
      </c>
      <c r="D669" t="s">
        <v>1027</v>
      </c>
    </row>
    <row r="670" spans="3:6" x14ac:dyDescent="0.55000000000000004">
      <c r="C670" t="s">
        <v>1028</v>
      </c>
    </row>
    <row r="672" spans="3:6" x14ac:dyDescent="0.55000000000000004">
      <c r="C672" t="s">
        <v>1059</v>
      </c>
    </row>
    <row r="674" spans="2:4" x14ac:dyDescent="0.55000000000000004">
      <c r="B674" t="s">
        <v>1031</v>
      </c>
    </row>
    <row r="675" spans="2:4" x14ac:dyDescent="0.55000000000000004">
      <c r="C675" t="s">
        <v>1032</v>
      </c>
      <c r="D675" t="s">
        <v>1033</v>
      </c>
    </row>
    <row r="676" spans="2:4" x14ac:dyDescent="0.55000000000000004">
      <c r="D676" t="s">
        <v>1034</v>
      </c>
    </row>
    <row r="677" spans="2:4" x14ac:dyDescent="0.55000000000000004">
      <c r="D677" t="s">
        <v>1035</v>
      </c>
    </row>
    <row r="678" spans="2:4" x14ac:dyDescent="0.55000000000000004">
      <c r="C678" t="s">
        <v>341</v>
      </c>
    </row>
    <row r="679" spans="2:4" x14ac:dyDescent="0.55000000000000004">
      <c r="C679" t="s">
        <v>1036</v>
      </c>
    </row>
    <row r="680" spans="2:4" x14ac:dyDescent="0.55000000000000004">
      <c r="C680" t="s">
        <v>1037</v>
      </c>
    </row>
    <row r="681" spans="2:4" x14ac:dyDescent="0.55000000000000004">
      <c r="D681" t="s">
        <v>1038</v>
      </c>
    </row>
    <row r="682" spans="2:4" x14ac:dyDescent="0.55000000000000004">
      <c r="B682" t="s">
        <v>1039</v>
      </c>
    </row>
    <row r="683" spans="2:4" x14ac:dyDescent="0.55000000000000004">
      <c r="C683" t="s">
        <v>1040</v>
      </c>
    </row>
    <row r="684" spans="2:4" x14ac:dyDescent="0.55000000000000004">
      <c r="D684" t="s">
        <v>1041</v>
      </c>
    </row>
    <row r="685" spans="2:4" x14ac:dyDescent="0.55000000000000004">
      <c r="D685" t="s">
        <v>1042</v>
      </c>
    </row>
    <row r="686" spans="2:4" x14ac:dyDescent="0.55000000000000004">
      <c r="D686" t="s">
        <v>1043</v>
      </c>
    </row>
    <row r="688" spans="2:4" x14ac:dyDescent="0.55000000000000004">
      <c r="B688" s="138">
        <v>44986</v>
      </c>
    </row>
    <row r="690" spans="2:4" x14ac:dyDescent="0.55000000000000004">
      <c r="B690" t="s">
        <v>1048</v>
      </c>
    </row>
    <row r="691" spans="2:4" x14ac:dyDescent="0.55000000000000004">
      <c r="C691" t="s">
        <v>1046</v>
      </c>
    </row>
    <row r="692" spans="2:4" x14ac:dyDescent="0.55000000000000004">
      <c r="C692" t="s">
        <v>1047</v>
      </c>
    </row>
    <row r="693" spans="2:4" x14ac:dyDescent="0.55000000000000004">
      <c r="B693" t="s">
        <v>1012</v>
      </c>
    </row>
    <row r="694" spans="2:4" x14ac:dyDescent="0.55000000000000004">
      <c r="C694" t="s">
        <v>1049</v>
      </c>
    </row>
    <row r="695" spans="2:4" x14ac:dyDescent="0.55000000000000004">
      <c r="C695" t="s">
        <v>1050</v>
      </c>
    </row>
    <row r="696" spans="2:4" x14ac:dyDescent="0.55000000000000004">
      <c r="D696" s="222" t="s">
        <v>1054</v>
      </c>
    </row>
    <row r="697" spans="2:4" x14ac:dyDescent="0.55000000000000004">
      <c r="D697" s="222" t="s">
        <v>1055</v>
      </c>
    </row>
    <row r="698" spans="2:4" x14ac:dyDescent="0.55000000000000004">
      <c r="D698" s="222" t="s">
        <v>1056</v>
      </c>
    </row>
    <row r="699" spans="2:4" x14ac:dyDescent="0.55000000000000004">
      <c r="D699" s="222" t="s">
        <v>1057</v>
      </c>
    </row>
    <row r="700" spans="2:4" x14ac:dyDescent="0.55000000000000004">
      <c r="D700" s="222" t="s">
        <v>1058</v>
      </c>
    </row>
    <row r="701" spans="2:4" x14ac:dyDescent="0.55000000000000004">
      <c r="B701" t="s">
        <v>1010</v>
      </c>
    </row>
    <row r="702" spans="2:4" x14ac:dyDescent="0.55000000000000004">
      <c r="C702" t="s">
        <v>1053</v>
      </c>
    </row>
    <row r="703" spans="2:4" x14ac:dyDescent="0.55000000000000004">
      <c r="D703" s="222" t="s">
        <v>1060</v>
      </c>
    </row>
    <row r="704" spans="2:4" x14ac:dyDescent="0.55000000000000004">
      <c r="B704" t="s">
        <v>793</v>
      </c>
      <c r="D704" s="222"/>
    </row>
    <row r="705" spans="2:5" x14ac:dyDescent="0.55000000000000004">
      <c r="C705" s="222" t="s">
        <v>1063</v>
      </c>
      <c r="D705" s="222"/>
    </row>
    <row r="706" spans="2:5" x14ac:dyDescent="0.55000000000000004">
      <c r="C706" s="222"/>
      <c r="D706" s="222" t="s">
        <v>1061</v>
      </c>
    </row>
    <row r="707" spans="2:5" x14ac:dyDescent="0.55000000000000004">
      <c r="D707" s="222" t="s">
        <v>1062</v>
      </c>
    </row>
    <row r="708" spans="2:5" x14ac:dyDescent="0.55000000000000004">
      <c r="C708" s="222" t="s">
        <v>1064</v>
      </c>
      <c r="D708" s="222"/>
    </row>
    <row r="709" spans="2:5" x14ac:dyDescent="0.55000000000000004">
      <c r="C709" s="222"/>
      <c r="D709" s="222" t="s">
        <v>1065</v>
      </c>
    </row>
    <row r="710" spans="2:5" x14ac:dyDescent="0.55000000000000004">
      <c r="C710" s="222"/>
      <c r="D710" s="222" t="s">
        <v>1066</v>
      </c>
    </row>
    <row r="711" spans="2:5" x14ac:dyDescent="0.55000000000000004">
      <c r="C711" s="222"/>
      <c r="D711" s="222" t="s">
        <v>1067</v>
      </c>
    </row>
    <row r="712" spans="2:5" x14ac:dyDescent="0.55000000000000004">
      <c r="B712" t="s">
        <v>970</v>
      </c>
      <c r="C712" s="222"/>
      <c r="D712" s="222"/>
    </row>
    <row r="713" spans="2:5" x14ac:dyDescent="0.55000000000000004">
      <c r="C713" s="222" t="s">
        <v>1068</v>
      </c>
      <c r="D713" s="222"/>
    </row>
    <row r="714" spans="2:5" x14ac:dyDescent="0.55000000000000004">
      <c r="B714" t="s">
        <v>1069</v>
      </c>
      <c r="C714" s="222"/>
      <c r="D714" s="222"/>
    </row>
    <row r="715" spans="2:5" x14ac:dyDescent="0.55000000000000004">
      <c r="C715" s="222" t="s">
        <v>1070</v>
      </c>
      <c r="D715" s="222"/>
    </row>
    <row r="716" spans="2:5" x14ac:dyDescent="0.55000000000000004">
      <c r="B716" t="s">
        <v>75</v>
      </c>
    </row>
    <row r="717" spans="2:5" x14ac:dyDescent="0.55000000000000004">
      <c r="C717" s="222" t="s">
        <v>1071</v>
      </c>
    </row>
    <row r="718" spans="2:5" x14ac:dyDescent="0.55000000000000004">
      <c r="C718" s="222"/>
      <c r="D718" s="222" t="s">
        <v>1072</v>
      </c>
    </row>
    <row r="719" spans="2:5" x14ac:dyDescent="0.55000000000000004">
      <c r="C719" s="222"/>
      <c r="D719" s="222"/>
      <c r="E719" s="222" t="s">
        <v>1073</v>
      </c>
    </row>
    <row r="720" spans="2:5" x14ac:dyDescent="0.55000000000000004">
      <c r="D720" s="222" t="s">
        <v>1074</v>
      </c>
    </row>
    <row r="721" spans="1:4" x14ac:dyDescent="0.55000000000000004">
      <c r="D721" s="222"/>
    </row>
    <row r="722" spans="1:4" x14ac:dyDescent="0.55000000000000004">
      <c r="C722" s="222" t="s">
        <v>1075</v>
      </c>
      <c r="D722" s="222"/>
    </row>
    <row r="723" spans="1:4" x14ac:dyDescent="0.55000000000000004">
      <c r="C723" s="222" t="s">
        <v>1076</v>
      </c>
      <c r="D723" s="222"/>
    </row>
    <row r="724" spans="1:4" x14ac:dyDescent="0.55000000000000004">
      <c r="C724" s="222" t="s">
        <v>1077</v>
      </c>
      <c r="D724" s="222"/>
    </row>
    <row r="725" spans="1:4" x14ac:dyDescent="0.55000000000000004">
      <c r="C725" s="222"/>
      <c r="D725" s="222"/>
    </row>
    <row r="726" spans="1:4" x14ac:dyDescent="0.55000000000000004">
      <c r="B726" t="s">
        <v>1051</v>
      </c>
    </row>
    <row r="727" spans="1:4" x14ac:dyDescent="0.55000000000000004">
      <c r="C727" t="s">
        <v>1052</v>
      </c>
    </row>
    <row r="728" spans="1:4" x14ac:dyDescent="0.55000000000000004">
      <c r="B728" t="s">
        <v>219</v>
      </c>
    </row>
    <row r="730" spans="1:4" x14ac:dyDescent="0.55000000000000004">
      <c r="B730" s="22" t="s">
        <v>799</v>
      </c>
    </row>
    <row r="732" spans="1:4" x14ac:dyDescent="0.55000000000000004">
      <c r="B732" t="s">
        <v>610</v>
      </c>
    </row>
    <row r="733" spans="1:4" x14ac:dyDescent="0.55000000000000004">
      <c r="C733" t="s">
        <v>1121</v>
      </c>
    </row>
    <row r="734" spans="1:4" x14ac:dyDescent="0.55000000000000004">
      <c r="B734" t="s">
        <v>1096</v>
      </c>
    </row>
    <row r="735" spans="1:4" x14ac:dyDescent="0.55000000000000004">
      <c r="A735" t="s">
        <v>444</v>
      </c>
      <c r="B735" t="s">
        <v>1097</v>
      </c>
    </row>
    <row r="736" spans="1:4" x14ac:dyDescent="0.55000000000000004">
      <c r="C736" t="s">
        <v>1149</v>
      </c>
    </row>
    <row r="737" spans="1:4" x14ac:dyDescent="0.55000000000000004">
      <c r="C737" t="s">
        <v>1116</v>
      </c>
    </row>
    <row r="738" spans="1:4" x14ac:dyDescent="0.55000000000000004">
      <c r="C738" t="s">
        <v>1117</v>
      </c>
    </row>
    <row r="739" spans="1:4" x14ac:dyDescent="0.55000000000000004">
      <c r="A739" t="s">
        <v>444</v>
      </c>
      <c r="B739" t="s">
        <v>1138</v>
      </c>
    </row>
    <row r="740" spans="1:4" x14ac:dyDescent="0.55000000000000004">
      <c r="C740" t="s">
        <v>1134</v>
      </c>
    </row>
    <row r="741" spans="1:4" x14ac:dyDescent="0.55000000000000004">
      <c r="C741" t="s">
        <v>1139</v>
      </c>
    </row>
    <row r="743" spans="1:4" x14ac:dyDescent="0.55000000000000004">
      <c r="C743" t="s">
        <v>1127</v>
      </c>
    </row>
    <row r="744" spans="1:4" x14ac:dyDescent="0.55000000000000004">
      <c r="D744" t="s">
        <v>1115</v>
      </c>
    </row>
    <row r="745" spans="1:4" x14ac:dyDescent="0.55000000000000004">
      <c r="C745" t="s">
        <v>1126</v>
      </c>
    </row>
    <row r="747" spans="1:4" x14ac:dyDescent="0.55000000000000004">
      <c r="A747" t="s">
        <v>444</v>
      </c>
      <c r="B747" t="s">
        <v>1120</v>
      </c>
    </row>
    <row r="748" spans="1:4" x14ac:dyDescent="0.55000000000000004">
      <c r="C748" t="s">
        <v>1114</v>
      </c>
    </row>
    <row r="749" spans="1:4" x14ac:dyDescent="0.55000000000000004">
      <c r="A749" t="s">
        <v>444</v>
      </c>
      <c r="B749" t="s">
        <v>1048</v>
      </c>
    </row>
    <row r="750" spans="1:4" x14ac:dyDescent="0.55000000000000004">
      <c r="C750" t="s">
        <v>1119</v>
      </c>
    </row>
    <row r="751" spans="1:4" x14ac:dyDescent="0.55000000000000004">
      <c r="A751" t="s">
        <v>444</v>
      </c>
      <c r="B751" t="s">
        <v>1118</v>
      </c>
    </row>
    <row r="752" spans="1:4" x14ac:dyDescent="0.55000000000000004">
      <c r="B752" t="s">
        <v>23</v>
      </c>
      <c r="C752" t="s">
        <v>1112</v>
      </c>
    </row>
    <row r="754" spans="1:3" x14ac:dyDescent="0.55000000000000004">
      <c r="A754" t="s">
        <v>444</v>
      </c>
      <c r="B754" t="s">
        <v>1122</v>
      </c>
    </row>
    <row r="755" spans="1:3" x14ac:dyDescent="0.55000000000000004">
      <c r="C755" t="s">
        <v>1125</v>
      </c>
    </row>
    <row r="756" spans="1:3" x14ac:dyDescent="0.55000000000000004">
      <c r="C756" t="s">
        <v>1123</v>
      </c>
    </row>
    <row r="757" spans="1:3" x14ac:dyDescent="0.55000000000000004">
      <c r="C757" t="s">
        <v>1124</v>
      </c>
    </row>
    <row r="758" spans="1:3" x14ac:dyDescent="0.55000000000000004">
      <c r="A758" t="s">
        <v>444</v>
      </c>
      <c r="B758" t="s">
        <v>1128</v>
      </c>
    </row>
    <row r="759" spans="1:3" x14ac:dyDescent="0.55000000000000004">
      <c r="C759" t="s">
        <v>1133</v>
      </c>
    </row>
    <row r="760" spans="1:3" x14ac:dyDescent="0.55000000000000004">
      <c r="A760" t="s">
        <v>444</v>
      </c>
      <c r="B760" t="s">
        <v>69</v>
      </c>
    </row>
    <row r="761" spans="1:3" x14ac:dyDescent="0.55000000000000004">
      <c r="C761" t="s">
        <v>1129</v>
      </c>
    </row>
    <row r="762" spans="1:3" x14ac:dyDescent="0.55000000000000004">
      <c r="C762" t="s">
        <v>1130</v>
      </c>
    </row>
    <row r="763" spans="1:3" x14ac:dyDescent="0.55000000000000004">
      <c r="C763" t="s">
        <v>1131</v>
      </c>
    </row>
    <row r="764" spans="1:3" x14ac:dyDescent="0.55000000000000004">
      <c r="B764" t="s">
        <v>75</v>
      </c>
    </row>
    <row r="765" spans="1:3" x14ac:dyDescent="0.55000000000000004">
      <c r="C765" t="s">
        <v>1132</v>
      </c>
    </row>
    <row r="766" spans="1:3" x14ac:dyDescent="0.55000000000000004">
      <c r="B766" t="s">
        <v>1135</v>
      </c>
    </row>
    <row r="768" spans="1:3" x14ac:dyDescent="0.55000000000000004">
      <c r="B768" t="s">
        <v>277</v>
      </c>
    </row>
    <row r="769" spans="2:3" x14ac:dyDescent="0.55000000000000004">
      <c r="C769" t="s">
        <v>1136</v>
      </c>
    </row>
    <row r="770" spans="2:3" x14ac:dyDescent="0.55000000000000004">
      <c r="C770" t="s">
        <v>1137</v>
      </c>
    </row>
    <row r="772" spans="2:3" x14ac:dyDescent="0.55000000000000004">
      <c r="B772" s="22" t="s">
        <v>433</v>
      </c>
    </row>
    <row r="774" spans="2:3" x14ac:dyDescent="0.55000000000000004">
      <c r="B774" t="s">
        <v>146</v>
      </c>
    </row>
    <row r="775" spans="2:3" x14ac:dyDescent="0.55000000000000004">
      <c r="C775" t="s">
        <v>1140</v>
      </c>
    </row>
    <row r="776" spans="2:3" x14ac:dyDescent="0.55000000000000004">
      <c r="C776" t="s">
        <v>1144</v>
      </c>
    </row>
    <row r="777" spans="2:3" x14ac:dyDescent="0.55000000000000004">
      <c r="C777" t="s">
        <v>1145</v>
      </c>
    </row>
    <row r="778" spans="2:3" x14ac:dyDescent="0.55000000000000004">
      <c r="B778" t="s">
        <v>1141</v>
      </c>
    </row>
    <row r="779" spans="2:3" x14ac:dyDescent="0.55000000000000004">
      <c r="C779" t="s">
        <v>1142</v>
      </c>
    </row>
    <row r="780" spans="2:3" x14ac:dyDescent="0.55000000000000004">
      <c r="B780" t="s">
        <v>1143</v>
      </c>
    </row>
    <row r="781" spans="2:3" x14ac:dyDescent="0.55000000000000004">
      <c r="B781" t="s">
        <v>1146</v>
      </c>
    </row>
    <row r="782" spans="2:3" x14ac:dyDescent="0.55000000000000004">
      <c r="B782" t="s">
        <v>1147</v>
      </c>
    </row>
    <row r="783" spans="2:3" x14ac:dyDescent="0.55000000000000004">
      <c r="C783" t="s">
        <v>1148</v>
      </c>
    </row>
    <row r="784" spans="2:3" x14ac:dyDescent="0.55000000000000004">
      <c r="B784" t="s">
        <v>1150</v>
      </c>
    </row>
    <row r="786" spans="2:3" x14ac:dyDescent="0.55000000000000004">
      <c r="B786" t="s">
        <v>1151</v>
      </c>
    </row>
    <row r="787" spans="2:3" x14ac:dyDescent="0.55000000000000004">
      <c r="C787" t="s">
        <v>1152</v>
      </c>
    </row>
    <row r="788" spans="2:3" x14ac:dyDescent="0.55000000000000004">
      <c r="C788" t="s">
        <v>1153</v>
      </c>
    </row>
    <row r="789" spans="2:3" x14ac:dyDescent="0.55000000000000004">
      <c r="B789" t="s">
        <v>1154</v>
      </c>
    </row>
    <row r="790" spans="2:3" x14ac:dyDescent="0.55000000000000004">
      <c r="C790" t="s">
        <v>1155</v>
      </c>
    </row>
    <row r="791" spans="2:3" x14ac:dyDescent="0.55000000000000004">
      <c r="C791" t="s">
        <v>1156</v>
      </c>
    </row>
    <row r="792" spans="2:3" x14ac:dyDescent="0.55000000000000004">
      <c r="C792" t="s">
        <v>1157</v>
      </c>
    </row>
    <row r="793" spans="2:3" x14ac:dyDescent="0.55000000000000004">
      <c r="B793" t="s">
        <v>1097</v>
      </c>
    </row>
    <row r="794" spans="2:3" x14ac:dyDescent="0.55000000000000004">
      <c r="C794" t="s">
        <v>1158</v>
      </c>
    </row>
    <row r="795" spans="2:3" x14ac:dyDescent="0.55000000000000004">
      <c r="C795" t="s">
        <v>1159</v>
      </c>
    </row>
    <row r="796" spans="2:3" x14ac:dyDescent="0.55000000000000004">
      <c r="B796" t="s">
        <v>1160</v>
      </c>
    </row>
    <row r="797" spans="2:3" x14ac:dyDescent="0.55000000000000004">
      <c r="C797" t="s">
        <v>1161</v>
      </c>
    </row>
    <row r="799" spans="2:3" x14ac:dyDescent="0.55000000000000004">
      <c r="B799" t="s">
        <v>1164</v>
      </c>
    </row>
    <row r="800" spans="2:3" x14ac:dyDescent="0.55000000000000004">
      <c r="B800" t="s">
        <v>1165</v>
      </c>
    </row>
    <row r="802" spans="1:6" x14ac:dyDescent="0.55000000000000004">
      <c r="B802" t="s">
        <v>1163</v>
      </c>
      <c r="D802">
        <v>53</v>
      </c>
      <c r="E802" t="s">
        <v>1183</v>
      </c>
    </row>
    <row r="803" spans="1:6" x14ac:dyDescent="0.55000000000000004">
      <c r="B803" t="s">
        <v>1166</v>
      </c>
      <c r="D803">
        <v>16</v>
      </c>
      <c r="E803" t="s">
        <v>1167</v>
      </c>
    </row>
    <row r="804" spans="1:6" x14ac:dyDescent="0.55000000000000004">
      <c r="B804" t="s">
        <v>1168</v>
      </c>
      <c r="D804">
        <v>20</v>
      </c>
      <c r="E804" t="s">
        <v>1169</v>
      </c>
    </row>
    <row r="805" spans="1:6" x14ac:dyDescent="0.55000000000000004">
      <c r="A805" t="s">
        <v>548</v>
      </c>
      <c r="B805" t="s">
        <v>1170</v>
      </c>
      <c r="D805">
        <v>13</v>
      </c>
      <c r="E805" t="s">
        <v>1171</v>
      </c>
    </row>
    <row r="806" spans="1:6" x14ac:dyDescent="0.55000000000000004">
      <c r="F806" t="s">
        <v>1172</v>
      </c>
    </row>
    <row r="807" spans="1:6" x14ac:dyDescent="0.55000000000000004">
      <c r="F807" t="s">
        <v>1173</v>
      </c>
    </row>
    <row r="808" spans="1:6" x14ac:dyDescent="0.55000000000000004">
      <c r="D808">
        <v>10</v>
      </c>
      <c r="E808" t="s">
        <v>1174</v>
      </c>
    </row>
    <row r="809" spans="1:6" x14ac:dyDescent="0.55000000000000004">
      <c r="B809" t="s">
        <v>1175</v>
      </c>
    </row>
    <row r="811" spans="1:6" x14ac:dyDescent="0.55000000000000004">
      <c r="B811" t="s">
        <v>1176</v>
      </c>
      <c r="D811">
        <v>50</v>
      </c>
      <c r="E811" t="s">
        <v>1177</v>
      </c>
    </row>
    <row r="812" spans="1:6" x14ac:dyDescent="0.55000000000000004">
      <c r="B812" t="s">
        <v>1178</v>
      </c>
      <c r="D812" s="238" t="s">
        <v>1179</v>
      </c>
      <c r="E812" t="s">
        <v>1180</v>
      </c>
    </row>
    <row r="813" spans="1:6" x14ac:dyDescent="0.55000000000000004">
      <c r="F813" t="s">
        <v>1181</v>
      </c>
    </row>
    <row r="814" spans="1:6" x14ac:dyDescent="0.55000000000000004">
      <c r="B814" t="s">
        <v>1182</v>
      </c>
    </row>
    <row r="816" spans="1:6" x14ac:dyDescent="0.55000000000000004">
      <c r="B816" t="s">
        <v>1184</v>
      </c>
    </row>
    <row r="817" spans="2:6" x14ac:dyDescent="0.55000000000000004">
      <c r="B817" t="s">
        <v>1185</v>
      </c>
    </row>
    <row r="819" spans="2:6" x14ac:dyDescent="0.55000000000000004">
      <c r="B819" t="s">
        <v>1186</v>
      </c>
      <c r="D819" t="s">
        <v>1187</v>
      </c>
    </row>
    <row r="821" spans="2:6" x14ac:dyDescent="0.55000000000000004">
      <c r="B821" t="s">
        <v>1141</v>
      </c>
    </row>
    <row r="822" spans="2:6" x14ac:dyDescent="0.55000000000000004">
      <c r="B822" t="s">
        <v>1188</v>
      </c>
    </row>
    <row r="823" spans="2:6" x14ac:dyDescent="0.55000000000000004">
      <c r="C823" t="s">
        <v>1189</v>
      </c>
      <c r="D823" t="s">
        <v>1190</v>
      </c>
    </row>
    <row r="824" spans="2:6" x14ac:dyDescent="0.55000000000000004">
      <c r="C824" t="s">
        <v>1610</v>
      </c>
      <c r="F824" t="s">
        <v>1191</v>
      </c>
    </row>
    <row r="825" spans="2:6" x14ac:dyDescent="0.55000000000000004">
      <c r="C825" t="s">
        <v>75</v>
      </c>
      <c r="F825" t="s">
        <v>1193</v>
      </c>
    </row>
    <row r="826" spans="2:6" x14ac:dyDescent="0.55000000000000004">
      <c r="F826" t="s">
        <v>1194</v>
      </c>
    </row>
    <row r="827" spans="2:6" x14ac:dyDescent="0.55000000000000004">
      <c r="C827" t="s">
        <v>69</v>
      </c>
      <c r="F827" t="s">
        <v>1195</v>
      </c>
    </row>
    <row r="828" spans="2:6" x14ac:dyDescent="0.55000000000000004">
      <c r="F828" t="s">
        <v>1196</v>
      </c>
    </row>
    <row r="829" spans="2:6" x14ac:dyDescent="0.55000000000000004">
      <c r="B829" t="s">
        <v>1197</v>
      </c>
    </row>
    <row r="830" spans="2:6" x14ac:dyDescent="0.55000000000000004">
      <c r="D830" t="s">
        <v>1199</v>
      </c>
    </row>
    <row r="831" spans="2:6" x14ac:dyDescent="0.55000000000000004">
      <c r="D831" t="s">
        <v>1200</v>
      </c>
    </row>
    <row r="832" spans="2:6" x14ac:dyDescent="0.55000000000000004">
      <c r="D832" t="s">
        <v>1198</v>
      </c>
    </row>
    <row r="833" spans="2:11" x14ac:dyDescent="0.55000000000000004">
      <c r="B833" t="s">
        <v>1192</v>
      </c>
    </row>
    <row r="835" spans="2:11" x14ac:dyDescent="0.55000000000000004">
      <c r="B835" s="22" t="s">
        <v>1205</v>
      </c>
    </row>
    <row r="837" spans="2:11" x14ac:dyDescent="0.55000000000000004">
      <c r="B837" t="s">
        <v>1210</v>
      </c>
    </row>
    <row r="838" spans="2:11" x14ac:dyDescent="0.55000000000000004">
      <c r="B838" t="s">
        <v>1206</v>
      </c>
    </row>
    <row r="839" spans="2:11" x14ac:dyDescent="0.55000000000000004">
      <c r="B839" t="s">
        <v>1207</v>
      </c>
    </row>
    <row r="840" spans="2:11" x14ac:dyDescent="0.55000000000000004">
      <c r="B840" t="s">
        <v>1208</v>
      </c>
    </row>
    <row r="841" spans="2:11" x14ac:dyDescent="0.55000000000000004">
      <c r="B841" t="s">
        <v>1209</v>
      </c>
    </row>
    <row r="842" spans="2:11" x14ac:dyDescent="0.55000000000000004">
      <c r="C842" s="10" t="s">
        <v>1213</v>
      </c>
    </row>
    <row r="843" spans="2:11" x14ac:dyDescent="0.55000000000000004">
      <c r="B843" t="s">
        <v>1212</v>
      </c>
    </row>
    <row r="844" spans="2:11" x14ac:dyDescent="0.55000000000000004">
      <c r="B844" t="s">
        <v>1211</v>
      </c>
    </row>
    <row r="846" spans="2:11" x14ac:dyDescent="0.55000000000000004">
      <c r="B846" s="22"/>
      <c r="C846" s="22" t="s">
        <v>1215</v>
      </c>
      <c r="D846" s="22"/>
      <c r="E846" s="22"/>
      <c r="F846" s="22"/>
      <c r="G846" s="22" t="s">
        <v>1216</v>
      </c>
      <c r="H846" s="22"/>
      <c r="I846" s="22"/>
      <c r="J846" s="22" t="s">
        <v>53</v>
      </c>
      <c r="K846" s="22"/>
    </row>
    <row r="847" spans="2:11" x14ac:dyDescent="0.55000000000000004">
      <c r="B847" t="s">
        <v>1214</v>
      </c>
      <c r="C847" t="s">
        <v>1218</v>
      </c>
      <c r="G847" t="s">
        <v>1217</v>
      </c>
      <c r="J847" t="s">
        <v>1219</v>
      </c>
    </row>
    <row r="848" spans="2:11" x14ac:dyDescent="0.55000000000000004">
      <c r="C848" t="s">
        <v>1231</v>
      </c>
    </row>
    <row r="850" spans="2:7" x14ac:dyDescent="0.55000000000000004">
      <c r="B850" t="s">
        <v>888</v>
      </c>
      <c r="C850" t="s">
        <v>1220</v>
      </c>
    </row>
    <row r="851" spans="2:7" x14ac:dyDescent="0.55000000000000004">
      <c r="C851" t="s">
        <v>1221</v>
      </c>
    </row>
    <row r="853" spans="2:7" x14ac:dyDescent="0.55000000000000004">
      <c r="C853" t="s">
        <v>1222</v>
      </c>
      <c r="G853" t="s">
        <v>1230</v>
      </c>
    </row>
    <row r="855" spans="2:7" x14ac:dyDescent="0.55000000000000004">
      <c r="B855" s="7" t="s">
        <v>1224</v>
      </c>
    </row>
    <row r="856" spans="2:7" x14ac:dyDescent="0.55000000000000004">
      <c r="B856" t="s">
        <v>1223</v>
      </c>
    </row>
    <row r="857" spans="2:7" x14ac:dyDescent="0.55000000000000004">
      <c r="C857" t="s">
        <v>1225</v>
      </c>
    </row>
    <row r="858" spans="2:7" x14ac:dyDescent="0.55000000000000004">
      <c r="D858" t="s">
        <v>1228</v>
      </c>
    </row>
    <row r="859" spans="2:7" x14ac:dyDescent="0.55000000000000004">
      <c r="D859" t="s">
        <v>1229</v>
      </c>
    </row>
    <row r="860" spans="2:7" x14ac:dyDescent="0.55000000000000004">
      <c r="C860" t="s">
        <v>1226</v>
      </c>
    </row>
    <row r="861" spans="2:7" x14ac:dyDescent="0.55000000000000004">
      <c r="D861" t="s">
        <v>1227</v>
      </c>
    </row>
    <row r="863" spans="2:7" x14ac:dyDescent="0.55000000000000004">
      <c r="C863" s="256" t="s">
        <v>1234</v>
      </c>
      <c r="D863" s="256" t="s">
        <v>1002</v>
      </c>
      <c r="E863" s="256" t="s">
        <v>786</v>
      </c>
    </row>
    <row r="864" spans="2:7" x14ac:dyDescent="0.55000000000000004">
      <c r="B864" t="s">
        <v>1233</v>
      </c>
    </row>
    <row r="866" spans="2:5" x14ac:dyDescent="0.55000000000000004">
      <c r="B866" t="s">
        <v>1232</v>
      </c>
      <c r="E866" s="37" t="s">
        <v>1235</v>
      </c>
    </row>
    <row r="868" spans="2:5" x14ac:dyDescent="0.55000000000000004">
      <c r="B868" t="s">
        <v>1236</v>
      </c>
    </row>
    <row r="869" spans="2:5" x14ac:dyDescent="0.55000000000000004">
      <c r="B869" t="s">
        <v>1237</v>
      </c>
    </row>
    <row r="870" spans="2:5" x14ac:dyDescent="0.55000000000000004">
      <c r="B870" t="s">
        <v>1238</v>
      </c>
    </row>
    <row r="871" spans="2:5" x14ac:dyDescent="0.55000000000000004">
      <c r="B871" t="s">
        <v>1239</v>
      </c>
    </row>
    <row r="873" spans="2:5" x14ac:dyDescent="0.55000000000000004">
      <c r="B873" s="22" t="s">
        <v>1246</v>
      </c>
    </row>
    <row r="876" spans="2:5" x14ac:dyDescent="0.55000000000000004">
      <c r="B876" t="s">
        <v>69</v>
      </c>
    </row>
    <row r="877" spans="2:5" x14ac:dyDescent="0.55000000000000004">
      <c r="C877" s="39">
        <v>2019</v>
      </c>
      <c r="D877" t="s">
        <v>1248</v>
      </c>
    </row>
    <row r="878" spans="2:5" x14ac:dyDescent="0.55000000000000004">
      <c r="C878" t="s">
        <v>1249</v>
      </c>
    </row>
    <row r="879" spans="2:5" x14ac:dyDescent="0.55000000000000004">
      <c r="C879" t="s">
        <v>1250</v>
      </c>
    </row>
    <row r="880" spans="2:5" x14ac:dyDescent="0.55000000000000004">
      <c r="B880" t="s">
        <v>1251</v>
      </c>
    </row>
    <row r="881" spans="2:3" x14ac:dyDescent="0.55000000000000004">
      <c r="C881" t="s">
        <v>1252</v>
      </c>
    </row>
    <row r="883" spans="2:3" x14ac:dyDescent="0.55000000000000004">
      <c r="B883" s="22" t="s">
        <v>433</v>
      </c>
    </row>
    <row r="885" spans="2:3" x14ac:dyDescent="0.55000000000000004">
      <c r="B885" t="s">
        <v>69</v>
      </c>
    </row>
    <row r="886" spans="2:3" x14ac:dyDescent="0.55000000000000004">
      <c r="C886" t="s">
        <v>1261</v>
      </c>
    </row>
    <row r="887" spans="2:3" x14ac:dyDescent="0.55000000000000004">
      <c r="C887" t="s">
        <v>1262</v>
      </c>
    </row>
    <row r="889" spans="2:3" x14ac:dyDescent="0.55000000000000004">
      <c r="C889" t="s">
        <v>1263</v>
      </c>
    </row>
    <row r="891" spans="2:3" x14ac:dyDescent="0.55000000000000004">
      <c r="C891" t="s">
        <v>1264</v>
      </c>
    </row>
    <row r="892" spans="2:3" x14ac:dyDescent="0.55000000000000004">
      <c r="B892" t="s">
        <v>219</v>
      </c>
    </row>
    <row r="893" spans="2:3" x14ac:dyDescent="0.55000000000000004">
      <c r="C893" t="s">
        <v>1267</v>
      </c>
    </row>
    <row r="894" spans="2:3" x14ac:dyDescent="0.55000000000000004">
      <c r="B894" t="s">
        <v>75</v>
      </c>
    </row>
    <row r="896" spans="2:3" x14ac:dyDescent="0.55000000000000004">
      <c r="B896" t="s">
        <v>1260</v>
      </c>
    </row>
    <row r="897" spans="2:13" x14ac:dyDescent="0.55000000000000004">
      <c r="C897" t="s">
        <v>1265</v>
      </c>
    </row>
    <row r="898" spans="2:13" x14ac:dyDescent="0.55000000000000004">
      <c r="B898" t="s">
        <v>1247</v>
      </c>
    </row>
    <row r="899" spans="2:13" x14ac:dyDescent="0.55000000000000004">
      <c r="B899" t="s">
        <v>1266</v>
      </c>
    </row>
    <row r="900" spans="2:13" ht="14.7" thickBot="1" x14ac:dyDescent="0.6"/>
    <row r="901" spans="2:13" x14ac:dyDescent="0.55000000000000004">
      <c r="I901" s="37" t="s">
        <v>78</v>
      </c>
      <c r="J901" s="257" t="s">
        <v>69</v>
      </c>
      <c r="K901" s="339"/>
      <c r="L901" s="258" t="s">
        <v>1278</v>
      </c>
      <c r="M901" s="259" t="s">
        <v>1280</v>
      </c>
    </row>
    <row r="902" spans="2:13" x14ac:dyDescent="0.55000000000000004">
      <c r="G902" t="s">
        <v>1253</v>
      </c>
      <c r="I902">
        <v>1000</v>
      </c>
      <c r="J902" s="260">
        <v>1000</v>
      </c>
      <c r="L902">
        <f>J902</f>
        <v>1000</v>
      </c>
      <c r="M902" s="261">
        <f>L902</f>
        <v>1000</v>
      </c>
    </row>
    <row r="903" spans="2:13" x14ac:dyDescent="0.55000000000000004">
      <c r="G903" t="s">
        <v>1256</v>
      </c>
      <c r="I903">
        <v>100</v>
      </c>
      <c r="J903" s="260">
        <v>120</v>
      </c>
      <c r="L903">
        <f>J903</f>
        <v>120</v>
      </c>
      <c r="M903" s="261">
        <v>110</v>
      </c>
    </row>
    <row r="904" spans="2:13" x14ac:dyDescent="0.55000000000000004">
      <c r="G904" t="s">
        <v>1257</v>
      </c>
      <c r="I904" s="3">
        <f>I903/I902</f>
        <v>0.1</v>
      </c>
      <c r="J904" s="282">
        <f>J903/J902</f>
        <v>0.12</v>
      </c>
      <c r="K904" s="3"/>
      <c r="L904" s="3">
        <f>L903/L902</f>
        <v>0.12</v>
      </c>
      <c r="M904" s="283">
        <f>M903/M902</f>
        <v>0.11</v>
      </c>
    </row>
    <row r="905" spans="2:13" x14ac:dyDescent="0.55000000000000004">
      <c r="I905" s="2"/>
      <c r="J905" s="262"/>
      <c r="K905" s="2"/>
      <c r="M905" s="261"/>
    </row>
    <row r="906" spans="2:13" x14ac:dyDescent="0.55000000000000004">
      <c r="G906" t="s">
        <v>1259</v>
      </c>
      <c r="I906">
        <f>I903-I908</f>
        <v>50</v>
      </c>
      <c r="J906" s="260">
        <f>J903-J908</f>
        <v>70</v>
      </c>
      <c r="L906">
        <f>L903-L908</f>
        <v>60</v>
      </c>
      <c r="M906" s="261">
        <v>60</v>
      </c>
    </row>
    <row r="907" spans="2:13" x14ac:dyDescent="0.55000000000000004">
      <c r="J907" s="260"/>
      <c r="M907" s="261"/>
    </row>
    <row r="908" spans="2:13" x14ac:dyDescent="0.55000000000000004">
      <c r="G908" t="s">
        <v>1254</v>
      </c>
      <c r="I908">
        <v>50</v>
      </c>
      <c r="J908" s="260">
        <v>50</v>
      </c>
      <c r="L908">
        <f>L911*L903</f>
        <v>60</v>
      </c>
      <c r="M908" s="261">
        <f>M903-M906</f>
        <v>50</v>
      </c>
    </row>
    <row r="909" spans="2:13" x14ac:dyDescent="0.55000000000000004">
      <c r="G909" t="s">
        <v>1255</v>
      </c>
      <c r="I909" s="3">
        <f>I908/I902</f>
        <v>0.05</v>
      </c>
      <c r="J909" s="282">
        <f>J908/J902</f>
        <v>0.05</v>
      </c>
      <c r="K909" s="3"/>
      <c r="L909" s="3">
        <f>L908/L902</f>
        <v>0.06</v>
      </c>
      <c r="M909" s="283">
        <f>M908/M902</f>
        <v>0.05</v>
      </c>
    </row>
    <row r="910" spans="2:13" x14ac:dyDescent="0.55000000000000004">
      <c r="J910" s="260"/>
      <c r="M910" s="261"/>
    </row>
    <row r="911" spans="2:13" ht="14.7" thickBot="1" x14ac:dyDescent="0.6">
      <c r="F911" t="s">
        <v>548</v>
      </c>
      <c r="G911" t="s">
        <v>1258</v>
      </c>
      <c r="I911" s="2">
        <f>I908/I903</f>
        <v>0.5</v>
      </c>
      <c r="J911" s="264">
        <f>J908/J903</f>
        <v>0.41666666666666669</v>
      </c>
      <c r="K911" s="265"/>
      <c r="L911" s="265">
        <v>0.5</v>
      </c>
      <c r="M911" s="266">
        <f>M908/M903</f>
        <v>0.45454545454545453</v>
      </c>
    </row>
    <row r="912" spans="2:13" x14ac:dyDescent="0.55000000000000004">
      <c r="I912" s="2"/>
      <c r="J912" s="2"/>
      <c r="K912" s="2"/>
      <c r="L912" s="2"/>
      <c r="M912" s="2"/>
    </row>
    <row r="913" spans="2:13" x14ac:dyDescent="0.55000000000000004">
      <c r="B913" t="s">
        <v>1284</v>
      </c>
      <c r="I913" s="2"/>
      <c r="J913" s="2"/>
      <c r="K913" s="2"/>
      <c r="L913" s="2"/>
      <c r="M913" s="2"/>
    </row>
    <row r="914" spans="2:13" x14ac:dyDescent="0.55000000000000004">
      <c r="I914" s="2"/>
      <c r="J914" s="2"/>
      <c r="K914" s="2"/>
      <c r="L914" s="2"/>
      <c r="M914" s="2"/>
    </row>
    <row r="915" spans="2:13" x14ac:dyDescent="0.55000000000000004">
      <c r="I915" s="2"/>
      <c r="J915" s="2"/>
      <c r="K915" s="2"/>
      <c r="L915" s="2"/>
      <c r="M915" s="2"/>
    </row>
    <row r="916" spans="2:13" x14ac:dyDescent="0.55000000000000004">
      <c r="B916" s="7" t="s">
        <v>433</v>
      </c>
    </row>
    <row r="917" spans="2:13" x14ac:dyDescent="0.55000000000000004">
      <c r="B917" t="s">
        <v>69</v>
      </c>
    </row>
    <row r="918" spans="2:13" x14ac:dyDescent="0.55000000000000004">
      <c r="C918" t="s">
        <v>1269</v>
      </c>
    </row>
    <row r="919" spans="2:13" x14ac:dyDescent="0.55000000000000004">
      <c r="C919" t="s">
        <v>1268</v>
      </c>
    </row>
    <row r="920" spans="2:13" x14ac:dyDescent="0.55000000000000004">
      <c r="C920" t="s">
        <v>1270</v>
      </c>
    </row>
    <row r="921" spans="2:13" x14ac:dyDescent="0.55000000000000004">
      <c r="C921" t="s">
        <v>1283</v>
      </c>
    </row>
    <row r="922" spans="2:13" x14ac:dyDescent="0.55000000000000004">
      <c r="B922" t="s">
        <v>75</v>
      </c>
    </row>
    <row r="923" spans="2:13" x14ac:dyDescent="0.55000000000000004">
      <c r="C923" t="s">
        <v>1271</v>
      </c>
    </row>
    <row r="924" spans="2:13" x14ac:dyDescent="0.55000000000000004">
      <c r="C924" t="s">
        <v>1272</v>
      </c>
    </row>
    <row r="925" spans="2:13" x14ac:dyDescent="0.55000000000000004">
      <c r="B925" t="s">
        <v>1273</v>
      </c>
    </row>
    <row r="926" spans="2:13" x14ac:dyDescent="0.55000000000000004">
      <c r="C926" t="s">
        <v>1275</v>
      </c>
    </row>
    <row r="927" spans="2:13" x14ac:dyDescent="0.55000000000000004">
      <c r="C927" t="s">
        <v>1276</v>
      </c>
    </row>
    <row r="928" spans="2:13" x14ac:dyDescent="0.55000000000000004">
      <c r="C928" t="s">
        <v>1277</v>
      </c>
    </row>
    <row r="929" spans="2:3" x14ac:dyDescent="0.55000000000000004">
      <c r="C929" t="s">
        <v>1279</v>
      </c>
    </row>
    <row r="930" spans="2:3" x14ac:dyDescent="0.55000000000000004">
      <c r="C930" t="s">
        <v>1281</v>
      </c>
    </row>
    <row r="931" spans="2:3" x14ac:dyDescent="0.55000000000000004">
      <c r="C931" t="s">
        <v>1282</v>
      </c>
    </row>
    <row r="932" spans="2:3" x14ac:dyDescent="0.55000000000000004">
      <c r="B932" t="s">
        <v>64</v>
      </c>
    </row>
    <row r="933" spans="2:3" x14ac:dyDescent="0.55000000000000004">
      <c r="C933" t="s">
        <v>1274</v>
      </c>
    </row>
    <row r="934" spans="2:3" x14ac:dyDescent="0.55000000000000004">
      <c r="B934" t="s">
        <v>1285</v>
      </c>
    </row>
    <row r="936" spans="2:3" x14ac:dyDescent="0.55000000000000004">
      <c r="B936" t="s">
        <v>69</v>
      </c>
    </row>
    <row r="937" spans="2:3" x14ac:dyDescent="0.55000000000000004">
      <c r="C937" t="s">
        <v>1288</v>
      </c>
    </row>
    <row r="938" spans="2:3" x14ac:dyDescent="0.55000000000000004">
      <c r="B938" t="s">
        <v>1260</v>
      </c>
    </row>
    <row r="939" spans="2:3" x14ac:dyDescent="0.55000000000000004">
      <c r="C939" t="s">
        <v>1289</v>
      </c>
    </row>
    <row r="941" spans="2:3" x14ac:dyDescent="0.55000000000000004">
      <c r="B941" s="7" t="s">
        <v>433</v>
      </c>
    </row>
    <row r="943" spans="2:3" x14ac:dyDescent="0.55000000000000004">
      <c r="B943" t="s">
        <v>1300</v>
      </c>
    </row>
    <row r="944" spans="2:3" x14ac:dyDescent="0.55000000000000004">
      <c r="C944" t="s">
        <v>1301</v>
      </c>
    </row>
    <row r="945" spans="2:5" x14ac:dyDescent="0.55000000000000004">
      <c r="C945" t="s">
        <v>1302</v>
      </c>
    </row>
    <row r="946" spans="2:5" x14ac:dyDescent="0.55000000000000004">
      <c r="B946" t="s">
        <v>1303</v>
      </c>
    </row>
    <row r="947" spans="2:5" x14ac:dyDescent="0.55000000000000004">
      <c r="C947" t="s">
        <v>1304</v>
      </c>
    </row>
    <row r="948" spans="2:5" x14ac:dyDescent="0.55000000000000004">
      <c r="B948" t="s">
        <v>64</v>
      </c>
    </row>
    <row r="949" spans="2:5" x14ac:dyDescent="0.55000000000000004">
      <c r="C949" t="s">
        <v>1313</v>
      </c>
    </row>
    <row r="950" spans="2:5" x14ac:dyDescent="0.55000000000000004">
      <c r="C950" t="s">
        <v>1314</v>
      </c>
    </row>
    <row r="951" spans="2:5" x14ac:dyDescent="0.55000000000000004">
      <c r="C951" t="s">
        <v>1315</v>
      </c>
    </row>
    <row r="952" spans="2:5" x14ac:dyDescent="0.55000000000000004">
      <c r="C952" t="s">
        <v>1316</v>
      </c>
    </row>
    <row r="953" spans="2:5" x14ac:dyDescent="0.55000000000000004">
      <c r="C953" t="s">
        <v>1317</v>
      </c>
    </row>
    <row r="954" spans="2:5" x14ac:dyDescent="0.55000000000000004">
      <c r="C954" t="s">
        <v>1318</v>
      </c>
    </row>
    <row r="955" spans="2:5" x14ac:dyDescent="0.55000000000000004">
      <c r="D955" t="s">
        <v>1319</v>
      </c>
    </row>
    <row r="956" spans="2:5" x14ac:dyDescent="0.55000000000000004">
      <c r="D956" t="s">
        <v>1320</v>
      </c>
    </row>
    <row r="957" spans="2:5" x14ac:dyDescent="0.55000000000000004">
      <c r="D957" t="s">
        <v>1321</v>
      </c>
    </row>
    <row r="958" spans="2:5" x14ac:dyDescent="0.55000000000000004">
      <c r="E958" t="s">
        <v>1322</v>
      </c>
    </row>
    <row r="959" spans="2:5" x14ac:dyDescent="0.55000000000000004">
      <c r="B959" t="s">
        <v>69</v>
      </c>
    </row>
    <row r="960" spans="2:5" x14ac:dyDescent="0.55000000000000004">
      <c r="C960" t="s">
        <v>1323</v>
      </c>
    </row>
    <row r="961" spans="2:6" x14ac:dyDescent="0.55000000000000004">
      <c r="C961" t="s">
        <v>1366</v>
      </c>
    </row>
    <row r="962" spans="2:6" x14ac:dyDescent="0.55000000000000004">
      <c r="C962">
        <f>90/15</f>
        <v>6</v>
      </c>
      <c r="D962">
        <f>C962*6</f>
        <v>36</v>
      </c>
    </row>
    <row r="963" spans="2:6" x14ac:dyDescent="0.55000000000000004">
      <c r="C963" t="s">
        <v>1324</v>
      </c>
    </row>
    <row r="964" spans="2:6" x14ac:dyDescent="0.55000000000000004">
      <c r="C964" t="s">
        <v>1325</v>
      </c>
    </row>
    <row r="965" spans="2:6" x14ac:dyDescent="0.55000000000000004">
      <c r="C965" t="s">
        <v>1326</v>
      </c>
    </row>
    <row r="967" spans="2:6" x14ac:dyDescent="0.55000000000000004">
      <c r="B967" t="s">
        <v>75</v>
      </c>
    </row>
    <row r="968" spans="2:6" x14ac:dyDescent="0.55000000000000004">
      <c r="C968" t="s">
        <v>1327</v>
      </c>
    </row>
    <row r="969" spans="2:6" x14ac:dyDescent="0.55000000000000004">
      <c r="D969" t="s">
        <v>1328</v>
      </c>
    </row>
    <row r="970" spans="2:6" x14ac:dyDescent="0.55000000000000004">
      <c r="D970" t="s">
        <v>1329</v>
      </c>
    </row>
    <row r="971" spans="2:6" x14ac:dyDescent="0.55000000000000004">
      <c r="D971" s="7" t="s">
        <v>1333</v>
      </c>
    </row>
    <row r="972" spans="2:6" x14ac:dyDescent="0.55000000000000004">
      <c r="D972" t="s">
        <v>1330</v>
      </c>
      <c r="F972" t="s">
        <v>1331</v>
      </c>
    </row>
    <row r="973" spans="2:6" x14ac:dyDescent="0.55000000000000004">
      <c r="D973" t="s">
        <v>1350</v>
      </c>
      <c r="F973" t="s">
        <v>1332</v>
      </c>
    </row>
    <row r="974" spans="2:6" x14ac:dyDescent="0.55000000000000004">
      <c r="B974" t="s">
        <v>1334</v>
      </c>
    </row>
    <row r="975" spans="2:6" x14ac:dyDescent="0.55000000000000004">
      <c r="C975" t="s">
        <v>1335</v>
      </c>
    </row>
    <row r="976" spans="2:6" x14ac:dyDescent="0.55000000000000004">
      <c r="C976" t="s">
        <v>1336</v>
      </c>
    </row>
    <row r="977" spans="2:4" x14ac:dyDescent="0.55000000000000004">
      <c r="C977" t="s">
        <v>1337</v>
      </c>
    </row>
    <row r="978" spans="2:4" x14ac:dyDescent="0.55000000000000004">
      <c r="C978" t="s">
        <v>1338</v>
      </c>
    </row>
    <row r="979" spans="2:4" x14ac:dyDescent="0.55000000000000004">
      <c r="D979" t="s">
        <v>1339</v>
      </c>
    </row>
    <row r="980" spans="2:4" x14ac:dyDescent="0.55000000000000004">
      <c r="B980" t="s">
        <v>1340</v>
      </c>
    </row>
    <row r="981" spans="2:4" x14ac:dyDescent="0.55000000000000004">
      <c r="C981" t="s">
        <v>1341</v>
      </c>
    </row>
    <row r="982" spans="2:4" x14ac:dyDescent="0.55000000000000004">
      <c r="C982" t="s">
        <v>1342</v>
      </c>
    </row>
    <row r="983" spans="2:4" x14ac:dyDescent="0.55000000000000004">
      <c r="C983" t="s">
        <v>1343</v>
      </c>
    </row>
    <row r="984" spans="2:4" x14ac:dyDescent="0.55000000000000004">
      <c r="D984" t="s">
        <v>1344</v>
      </c>
    </row>
    <row r="985" spans="2:4" x14ac:dyDescent="0.55000000000000004">
      <c r="B985" t="s">
        <v>1345</v>
      </c>
    </row>
    <row r="986" spans="2:4" x14ac:dyDescent="0.55000000000000004">
      <c r="C986" t="s">
        <v>1346</v>
      </c>
    </row>
    <row r="987" spans="2:4" x14ac:dyDescent="0.55000000000000004">
      <c r="B987" t="s">
        <v>1347</v>
      </c>
    </row>
    <row r="988" spans="2:4" x14ac:dyDescent="0.55000000000000004">
      <c r="C988" t="s">
        <v>1348</v>
      </c>
    </row>
    <row r="989" spans="2:4" x14ac:dyDescent="0.55000000000000004">
      <c r="C989" t="s">
        <v>1349</v>
      </c>
    </row>
    <row r="993" spans="2:3" x14ac:dyDescent="0.55000000000000004">
      <c r="B993" s="22" t="s">
        <v>1307</v>
      </c>
    </row>
    <row r="994" spans="2:3" x14ac:dyDescent="0.55000000000000004">
      <c r="B994" t="s">
        <v>1305</v>
      </c>
    </row>
    <row r="995" spans="2:3" x14ac:dyDescent="0.55000000000000004">
      <c r="B995" t="s">
        <v>1306</v>
      </c>
    </row>
    <row r="996" spans="2:3" x14ac:dyDescent="0.55000000000000004">
      <c r="B996" t="s">
        <v>1308</v>
      </c>
    </row>
    <row r="997" spans="2:3" x14ac:dyDescent="0.55000000000000004">
      <c r="B997" t="s">
        <v>1309</v>
      </c>
    </row>
    <row r="998" spans="2:3" x14ac:dyDescent="0.55000000000000004">
      <c r="B998" t="s">
        <v>202</v>
      </c>
    </row>
    <row r="999" spans="2:3" x14ac:dyDescent="0.55000000000000004">
      <c r="C999" t="s">
        <v>1310</v>
      </c>
    </row>
    <row r="1000" spans="2:3" x14ac:dyDescent="0.55000000000000004">
      <c r="C1000" t="s">
        <v>1311</v>
      </c>
    </row>
    <row r="1001" spans="2:3" x14ac:dyDescent="0.55000000000000004">
      <c r="C1001" t="s">
        <v>1312</v>
      </c>
    </row>
    <row r="1003" spans="2:3" x14ac:dyDescent="0.55000000000000004">
      <c r="B1003" s="22" t="s">
        <v>1364</v>
      </c>
    </row>
    <row r="1005" spans="2:3" x14ac:dyDescent="0.55000000000000004">
      <c r="B1005" t="s">
        <v>1372</v>
      </c>
    </row>
    <row r="1006" spans="2:3" x14ac:dyDescent="0.55000000000000004">
      <c r="C1006" t="s">
        <v>1365</v>
      </c>
    </row>
    <row r="1007" spans="2:3" x14ac:dyDescent="0.55000000000000004">
      <c r="B1007" t="s">
        <v>1368</v>
      </c>
    </row>
    <row r="1008" spans="2:3" x14ac:dyDescent="0.55000000000000004">
      <c r="C1008" t="s">
        <v>1369</v>
      </c>
    </row>
    <row r="1009" spans="2:4" x14ac:dyDescent="0.55000000000000004">
      <c r="B1009" t="s">
        <v>1367</v>
      </c>
    </row>
    <row r="1010" spans="2:4" x14ac:dyDescent="0.55000000000000004">
      <c r="C1010" t="s">
        <v>1370</v>
      </c>
    </row>
    <row r="1011" spans="2:4" x14ac:dyDescent="0.55000000000000004">
      <c r="C1011" t="s">
        <v>1371</v>
      </c>
    </row>
    <row r="1012" spans="2:4" x14ac:dyDescent="0.55000000000000004">
      <c r="B1012" t="s">
        <v>1377</v>
      </c>
    </row>
    <row r="1013" spans="2:4" x14ac:dyDescent="0.55000000000000004">
      <c r="C1013" t="s">
        <v>1378</v>
      </c>
    </row>
    <row r="1014" spans="2:4" x14ac:dyDescent="0.55000000000000004">
      <c r="B1014" t="s">
        <v>1379</v>
      </c>
    </row>
    <row r="1015" spans="2:4" x14ac:dyDescent="0.55000000000000004">
      <c r="C1015" t="s">
        <v>1380</v>
      </c>
    </row>
    <row r="1016" spans="2:4" x14ac:dyDescent="0.55000000000000004">
      <c r="B1016" t="s">
        <v>1373</v>
      </c>
    </row>
    <row r="1017" spans="2:4" x14ac:dyDescent="0.55000000000000004">
      <c r="C1017" t="s">
        <v>1374</v>
      </c>
    </row>
    <row r="1018" spans="2:4" x14ac:dyDescent="0.55000000000000004">
      <c r="D1018" t="s">
        <v>1375</v>
      </c>
    </row>
    <row r="1019" spans="2:4" x14ac:dyDescent="0.55000000000000004">
      <c r="D1019" t="s">
        <v>1376</v>
      </c>
    </row>
    <row r="1020" spans="2:4" x14ac:dyDescent="0.55000000000000004">
      <c r="B1020" t="s">
        <v>606</v>
      </c>
    </row>
    <row r="1022" spans="2:4" x14ac:dyDescent="0.55000000000000004">
      <c r="B1022" s="22" t="s">
        <v>1381</v>
      </c>
    </row>
    <row r="1024" spans="2:4" x14ac:dyDescent="0.55000000000000004">
      <c r="B1024" t="s">
        <v>64</v>
      </c>
    </row>
    <row r="1025" spans="2:3" x14ac:dyDescent="0.55000000000000004">
      <c r="B1025" t="s">
        <v>1382</v>
      </c>
    </row>
    <row r="1026" spans="2:3" x14ac:dyDescent="0.55000000000000004">
      <c r="B1026" t="s">
        <v>1383</v>
      </c>
    </row>
    <row r="1028" spans="2:3" x14ac:dyDescent="0.55000000000000004">
      <c r="B1028" t="s">
        <v>1384</v>
      </c>
    </row>
    <row r="1029" spans="2:3" x14ac:dyDescent="0.55000000000000004">
      <c r="B1029" t="s">
        <v>1385</v>
      </c>
    </row>
    <row r="1030" spans="2:3" x14ac:dyDescent="0.55000000000000004">
      <c r="B1030" t="s">
        <v>1386</v>
      </c>
    </row>
    <row r="1031" spans="2:3" x14ac:dyDescent="0.55000000000000004">
      <c r="C1031" t="s">
        <v>1387</v>
      </c>
    </row>
    <row r="1032" spans="2:3" x14ac:dyDescent="0.55000000000000004">
      <c r="C1032" t="s">
        <v>1388</v>
      </c>
    </row>
    <row r="1033" spans="2:3" x14ac:dyDescent="0.55000000000000004">
      <c r="C1033" t="s">
        <v>1389</v>
      </c>
    </row>
    <row r="1034" spans="2:3" x14ac:dyDescent="0.55000000000000004">
      <c r="C1034" t="s">
        <v>1390</v>
      </c>
    </row>
    <row r="1035" spans="2:3" x14ac:dyDescent="0.55000000000000004">
      <c r="C1035" t="s">
        <v>1391</v>
      </c>
    </row>
    <row r="1036" spans="2:3" x14ac:dyDescent="0.55000000000000004">
      <c r="B1036" t="s">
        <v>1392</v>
      </c>
    </row>
    <row r="1037" spans="2:3" x14ac:dyDescent="0.55000000000000004">
      <c r="C1037" t="s">
        <v>1393</v>
      </c>
    </row>
    <row r="1038" spans="2:3" x14ac:dyDescent="0.55000000000000004">
      <c r="C1038" t="s">
        <v>1394</v>
      </c>
    </row>
    <row r="1039" spans="2:3" x14ac:dyDescent="0.55000000000000004">
      <c r="B1039" t="s">
        <v>1345</v>
      </c>
    </row>
    <row r="1041" spans="2:4" x14ac:dyDescent="0.55000000000000004">
      <c r="B1041" t="s">
        <v>962</v>
      </c>
    </row>
    <row r="1042" spans="2:4" x14ac:dyDescent="0.55000000000000004">
      <c r="C1042" t="s">
        <v>1395</v>
      </c>
    </row>
    <row r="1043" spans="2:4" x14ac:dyDescent="0.55000000000000004">
      <c r="C1043" t="s">
        <v>1396</v>
      </c>
    </row>
    <row r="1044" spans="2:4" x14ac:dyDescent="0.55000000000000004">
      <c r="C1044" t="s">
        <v>1397</v>
      </c>
    </row>
    <row r="1045" spans="2:4" x14ac:dyDescent="0.55000000000000004">
      <c r="C1045" t="s">
        <v>1398</v>
      </c>
    </row>
    <row r="1046" spans="2:4" x14ac:dyDescent="0.55000000000000004">
      <c r="C1046" t="s">
        <v>1399</v>
      </c>
    </row>
    <row r="1047" spans="2:4" x14ac:dyDescent="0.55000000000000004">
      <c r="B1047" t="s">
        <v>1400</v>
      </c>
    </row>
    <row r="1048" spans="2:4" x14ac:dyDescent="0.55000000000000004">
      <c r="C1048" t="s">
        <v>1401</v>
      </c>
    </row>
    <row r="1049" spans="2:4" x14ac:dyDescent="0.55000000000000004">
      <c r="C1049" t="s">
        <v>1402</v>
      </c>
    </row>
    <row r="1050" spans="2:4" x14ac:dyDescent="0.55000000000000004">
      <c r="B1050" t="s">
        <v>1403</v>
      </c>
    </row>
    <row r="1051" spans="2:4" x14ac:dyDescent="0.55000000000000004">
      <c r="C1051" t="s">
        <v>1404</v>
      </c>
    </row>
    <row r="1052" spans="2:4" x14ac:dyDescent="0.55000000000000004">
      <c r="C1052" t="s">
        <v>1405</v>
      </c>
    </row>
    <row r="1053" spans="2:4" x14ac:dyDescent="0.55000000000000004">
      <c r="D1053" t="s">
        <v>1406</v>
      </c>
    </row>
    <row r="1054" spans="2:4" x14ac:dyDescent="0.55000000000000004">
      <c r="D1054" t="s">
        <v>1407</v>
      </c>
    </row>
    <row r="1055" spans="2:4" x14ac:dyDescent="0.55000000000000004">
      <c r="C1055" t="s">
        <v>1334</v>
      </c>
    </row>
    <row r="1056" spans="2:4" x14ac:dyDescent="0.55000000000000004">
      <c r="C1056" t="s">
        <v>1408</v>
      </c>
    </row>
    <row r="1058" spans="2:8" x14ac:dyDescent="0.55000000000000004">
      <c r="B1058" s="22" t="s">
        <v>1418</v>
      </c>
    </row>
    <row r="1059" spans="2:8" x14ac:dyDescent="0.55000000000000004">
      <c r="B1059" t="s">
        <v>1442</v>
      </c>
    </row>
    <row r="1060" spans="2:8" x14ac:dyDescent="0.55000000000000004">
      <c r="B1060" t="s">
        <v>1441</v>
      </c>
    </row>
    <row r="1061" spans="2:8" x14ac:dyDescent="0.55000000000000004">
      <c r="B1061" t="s">
        <v>1440</v>
      </c>
    </row>
    <row r="1063" spans="2:8" x14ac:dyDescent="0.55000000000000004">
      <c r="B1063" t="s">
        <v>1419</v>
      </c>
    </row>
    <row r="1064" spans="2:8" x14ac:dyDescent="0.55000000000000004">
      <c r="B1064" t="s">
        <v>1420</v>
      </c>
    </row>
    <row r="1065" spans="2:8" x14ac:dyDescent="0.55000000000000004">
      <c r="C1065" t="s">
        <v>1421</v>
      </c>
    </row>
    <row r="1066" spans="2:8" x14ac:dyDescent="0.55000000000000004">
      <c r="C1066" t="s">
        <v>1422</v>
      </c>
    </row>
    <row r="1067" spans="2:8" x14ac:dyDescent="0.55000000000000004">
      <c r="B1067" t="s">
        <v>1423</v>
      </c>
      <c r="C1067" t="s">
        <v>1424</v>
      </c>
      <c r="D1067">
        <f>610/34000</f>
        <v>1.7941176470588235E-2</v>
      </c>
    </row>
    <row r="1068" spans="2:8" x14ac:dyDescent="0.55000000000000004">
      <c r="B1068" t="s">
        <v>1425</v>
      </c>
    </row>
    <row r="1070" spans="2:8" x14ac:dyDescent="0.55000000000000004">
      <c r="B1070" s="10"/>
      <c r="C1070" s="10"/>
      <c r="D1070" s="10"/>
      <c r="E1070" s="287">
        <v>44621</v>
      </c>
      <c r="F1070" s="287">
        <v>44986</v>
      </c>
      <c r="G1070" s="10"/>
      <c r="H1070" s="10"/>
    </row>
    <row r="1071" spans="2:8" x14ac:dyDescent="0.55000000000000004">
      <c r="B1071" s="1" t="s">
        <v>242</v>
      </c>
      <c r="C1071" s="5" t="s">
        <v>1428</v>
      </c>
      <c r="D1071" s="1"/>
      <c r="E1071" s="5" t="s">
        <v>1426</v>
      </c>
      <c r="F1071" s="5" t="s">
        <v>1426</v>
      </c>
      <c r="G1071" s="5" t="s">
        <v>1431</v>
      </c>
      <c r="H1071" s="10"/>
    </row>
    <row r="1072" spans="2:8" x14ac:dyDescent="0.55000000000000004">
      <c r="B1072" t="s">
        <v>1429</v>
      </c>
      <c r="E1072">
        <v>686</v>
      </c>
      <c r="F1072">
        <v>903</v>
      </c>
      <c r="G1072" s="2">
        <f>F1072/E1072-1</f>
        <v>0.31632653061224492</v>
      </c>
    </row>
    <row r="1073" spans="2:12" x14ac:dyDescent="0.55000000000000004">
      <c r="B1073" t="s">
        <v>1430</v>
      </c>
      <c r="E1073" s="9">
        <f>F1073/(1+G1073)</f>
        <v>552.44755244755243</v>
      </c>
      <c r="F1073">
        <v>790</v>
      </c>
      <c r="G1073" s="2">
        <v>0.43</v>
      </c>
    </row>
    <row r="1074" spans="2:12" x14ac:dyDescent="0.55000000000000004">
      <c r="B1074" s="39" t="s">
        <v>67</v>
      </c>
      <c r="F1074" s="9">
        <v>399</v>
      </c>
    </row>
    <row r="1075" spans="2:12" x14ac:dyDescent="0.55000000000000004">
      <c r="B1075" s="39" t="s">
        <v>1432</v>
      </c>
      <c r="E1075" s="9">
        <f>F1075/1.15</f>
        <v>341.73913043478262</v>
      </c>
      <c r="F1075" s="9">
        <v>393</v>
      </c>
      <c r="G1075" s="2">
        <f>F1075/E1075-1</f>
        <v>0.14999999999999991</v>
      </c>
    </row>
    <row r="1076" spans="2:12" x14ac:dyDescent="0.55000000000000004">
      <c r="B1076" s="6" t="s">
        <v>1433</v>
      </c>
      <c r="E1076" s="9">
        <f>F1076/1.52</f>
        <v>56.881578947368418</v>
      </c>
      <c r="F1076" s="9">
        <f>0.22*F1075</f>
        <v>86.46</v>
      </c>
      <c r="G1076" s="2">
        <f>F1076/E1076-1</f>
        <v>0.52</v>
      </c>
    </row>
    <row r="1077" spans="2:12" x14ac:dyDescent="0.55000000000000004">
      <c r="B1077" s="6" t="s">
        <v>1435</v>
      </c>
      <c r="E1077" s="134">
        <v>20</v>
      </c>
      <c r="F1077" s="134">
        <v>25</v>
      </c>
      <c r="G1077" s="2"/>
      <c r="J1077" s="9"/>
      <c r="K1077" s="9"/>
      <c r="L1077" s="9"/>
    </row>
    <row r="1078" spans="2:12" x14ac:dyDescent="0.55000000000000004">
      <c r="B1078" s="6" t="s">
        <v>1434</v>
      </c>
      <c r="C1078" s="9"/>
      <c r="E1078" s="9">
        <f>E1075-E1076-E1077</f>
        <v>264.85755148741418</v>
      </c>
      <c r="F1078" s="9">
        <f>F1075-F1076-F1077</f>
        <v>281.54000000000002</v>
      </c>
      <c r="G1078" s="2">
        <f>F1078/E1078-1</f>
        <v>6.2986493754468409E-2</v>
      </c>
      <c r="I1078" s="9">
        <f>Master!H195</f>
        <v>276.90799999999996</v>
      </c>
    </row>
    <row r="1079" spans="2:12" x14ac:dyDescent="0.55000000000000004">
      <c r="B1079" s="6" t="s">
        <v>1438</v>
      </c>
      <c r="C1079" s="9"/>
      <c r="E1079" s="9"/>
      <c r="F1079" s="2">
        <f>F1078/F1072</f>
        <v>0.31178294573643411</v>
      </c>
      <c r="G1079" s="2"/>
    </row>
    <row r="1080" spans="2:12" x14ac:dyDescent="0.55000000000000004">
      <c r="F1080" s="3"/>
    </row>
    <row r="1081" spans="2:12" x14ac:dyDescent="0.55000000000000004">
      <c r="B1081" s="10" t="s">
        <v>0</v>
      </c>
    </row>
    <row r="1082" spans="2:12" x14ac:dyDescent="0.55000000000000004">
      <c r="B1082" t="s">
        <v>1432</v>
      </c>
      <c r="E1082" s="4">
        <f>F1082/1.13</f>
        <v>34.513274336283189</v>
      </c>
      <c r="F1082" s="4">
        <v>39</v>
      </c>
      <c r="G1082" s="2">
        <f>F1082/E1082-1</f>
        <v>0.12999999999999989</v>
      </c>
      <c r="I1082" s="4">
        <f>Master!H43</f>
        <v>17.677</v>
      </c>
    </row>
    <row r="1084" spans="2:12" x14ac:dyDescent="0.55000000000000004">
      <c r="B1084" s="10" t="s">
        <v>217</v>
      </c>
    </row>
    <row r="1085" spans="2:12" x14ac:dyDescent="0.55000000000000004">
      <c r="B1085" t="str">
        <f>B1082</f>
        <v>GPO</v>
      </c>
      <c r="E1085" s="137">
        <f>E1075/(E1082*1000)</f>
        <v>9.9016722408026749E-3</v>
      </c>
      <c r="F1085" s="137">
        <f>F1075/(F1082*1000)</f>
        <v>1.0076923076923077E-2</v>
      </c>
    </row>
    <row r="1086" spans="2:12" x14ac:dyDescent="0.55000000000000004">
      <c r="E1086" s="137"/>
      <c r="F1086" s="137"/>
    </row>
    <row r="1087" spans="2:12" x14ac:dyDescent="0.55000000000000004">
      <c r="B1087" t="s">
        <v>1436</v>
      </c>
      <c r="F1087">
        <v>610</v>
      </c>
    </row>
    <row r="1088" spans="2:12" x14ac:dyDescent="0.55000000000000004">
      <c r="B1088" t="s">
        <v>1437</v>
      </c>
      <c r="F1088" s="286">
        <f>F1087/F1078</f>
        <v>2.166654827022803</v>
      </c>
    </row>
    <row r="1090" spans="2:6" x14ac:dyDescent="0.55000000000000004">
      <c r="B1090" s="10" t="s">
        <v>3</v>
      </c>
    </row>
    <row r="1091" spans="2:6" x14ac:dyDescent="0.55000000000000004">
      <c r="B1091" t="s">
        <v>1427</v>
      </c>
      <c r="E1091">
        <v>-52</v>
      </c>
      <c r="F1091">
        <v>-108</v>
      </c>
    </row>
    <row r="1092" spans="2:6" x14ac:dyDescent="0.55000000000000004">
      <c r="B1092" t="s">
        <v>106</v>
      </c>
      <c r="E1092" s="2">
        <f>E1091/E1072</f>
        <v>-7.5801749271137031E-2</v>
      </c>
      <c r="F1092" s="2">
        <f>F1091/F1072</f>
        <v>-0.11960132890365449</v>
      </c>
    </row>
    <row r="1094" spans="2:6" x14ac:dyDescent="0.55000000000000004">
      <c r="B1094" t="s">
        <v>1439</v>
      </c>
    </row>
    <row r="1096" spans="2:6" x14ac:dyDescent="0.55000000000000004">
      <c r="B1096" s="22" t="s">
        <v>1443</v>
      </c>
    </row>
    <row r="1097" spans="2:6" x14ac:dyDescent="0.55000000000000004">
      <c r="B1097" t="s">
        <v>1444</v>
      </c>
    </row>
    <row r="1098" spans="2:6" x14ac:dyDescent="0.55000000000000004">
      <c r="B1098" t="s">
        <v>1445</v>
      </c>
    </row>
    <row r="1099" spans="2:6" x14ac:dyDescent="0.55000000000000004">
      <c r="C1099" t="s">
        <v>1448</v>
      </c>
    </row>
    <row r="1100" spans="2:6" x14ac:dyDescent="0.55000000000000004">
      <c r="B1100" t="s">
        <v>1446</v>
      </c>
    </row>
    <row r="1101" spans="2:6" x14ac:dyDescent="0.55000000000000004">
      <c r="B1101" t="s">
        <v>1447</v>
      </c>
    </row>
    <row r="1102" spans="2:6" x14ac:dyDescent="0.55000000000000004">
      <c r="B1102" t="s">
        <v>1449</v>
      </c>
    </row>
    <row r="1103" spans="2:6" x14ac:dyDescent="0.55000000000000004">
      <c r="B1103" t="s">
        <v>1450</v>
      </c>
    </row>
    <row r="1104" spans="2:6" x14ac:dyDescent="0.55000000000000004">
      <c r="C1104" t="s">
        <v>1451</v>
      </c>
    </row>
    <row r="1106" spans="2:5" x14ac:dyDescent="0.55000000000000004">
      <c r="B1106" s="22" t="s">
        <v>1460</v>
      </c>
    </row>
    <row r="1108" spans="2:5" x14ac:dyDescent="0.55000000000000004">
      <c r="B1108" t="s">
        <v>69</v>
      </c>
    </row>
    <row r="1109" spans="2:5" x14ac:dyDescent="0.55000000000000004">
      <c r="C1109" s="222" t="s">
        <v>130</v>
      </c>
      <c r="D1109" s="222"/>
      <c r="E1109" s="222" t="s">
        <v>1461</v>
      </c>
    </row>
    <row r="1110" spans="2:5" x14ac:dyDescent="0.55000000000000004">
      <c r="C1110" s="222" t="s">
        <v>1462</v>
      </c>
      <c r="D1110" s="222"/>
      <c r="E1110" s="222"/>
    </row>
    <row r="1111" spans="2:5" x14ac:dyDescent="0.55000000000000004">
      <c r="B1111" t="s">
        <v>75</v>
      </c>
      <c r="C1111" s="222"/>
      <c r="D1111" s="222"/>
      <c r="E1111" s="222"/>
    </row>
    <row r="1112" spans="2:5" x14ac:dyDescent="0.55000000000000004">
      <c r="C1112" s="222" t="s">
        <v>1463</v>
      </c>
      <c r="D1112" s="222"/>
      <c r="E1112" s="222"/>
    </row>
    <row r="1113" spans="2:5" x14ac:dyDescent="0.55000000000000004">
      <c r="C1113" s="222" t="s">
        <v>1464</v>
      </c>
      <c r="D1113" s="222"/>
      <c r="E1113" s="222"/>
    </row>
    <row r="1114" spans="2:5" x14ac:dyDescent="0.55000000000000004">
      <c r="B1114" t="s">
        <v>1465</v>
      </c>
      <c r="C1114" s="222"/>
      <c r="D1114" s="222"/>
      <c r="E1114" s="222"/>
    </row>
    <row r="1115" spans="2:5" x14ac:dyDescent="0.55000000000000004">
      <c r="C1115" s="222" t="s">
        <v>1466</v>
      </c>
      <c r="D1115" s="222"/>
      <c r="E1115" s="222"/>
    </row>
    <row r="1116" spans="2:5" x14ac:dyDescent="0.55000000000000004">
      <c r="C1116" s="222"/>
      <c r="D1116" s="222" t="s">
        <v>1468</v>
      </c>
      <c r="E1116" s="222"/>
    </row>
    <row r="1117" spans="2:5" x14ac:dyDescent="0.55000000000000004">
      <c r="C1117" s="222" t="s">
        <v>1467</v>
      </c>
      <c r="D1117" s="222"/>
      <c r="E1117" s="222"/>
    </row>
    <row r="1118" spans="2:5" x14ac:dyDescent="0.55000000000000004">
      <c r="B1118" t="s">
        <v>75</v>
      </c>
    </row>
    <row r="1119" spans="2:5" x14ac:dyDescent="0.55000000000000004">
      <c r="C1119" t="s">
        <v>1469</v>
      </c>
    </row>
    <row r="1120" spans="2:5" x14ac:dyDescent="0.55000000000000004">
      <c r="D1120" s="222" t="s">
        <v>1474</v>
      </c>
    </row>
    <row r="1121" spans="2:4" x14ac:dyDescent="0.55000000000000004">
      <c r="D1121" s="222" t="s">
        <v>1475</v>
      </c>
    </row>
    <row r="1122" spans="2:4" x14ac:dyDescent="0.55000000000000004">
      <c r="D1122" s="222" t="s">
        <v>1476</v>
      </c>
    </row>
    <row r="1123" spans="2:4" x14ac:dyDescent="0.55000000000000004">
      <c r="C1123" t="s">
        <v>1470</v>
      </c>
    </row>
    <row r="1124" spans="2:4" x14ac:dyDescent="0.55000000000000004">
      <c r="D1124" s="222" t="s">
        <v>1482</v>
      </c>
    </row>
    <row r="1125" spans="2:4" x14ac:dyDescent="0.55000000000000004">
      <c r="D1125" s="222" t="s">
        <v>1483</v>
      </c>
    </row>
    <row r="1126" spans="2:4" x14ac:dyDescent="0.55000000000000004">
      <c r="D1126" s="222" t="s">
        <v>1484</v>
      </c>
    </row>
    <row r="1127" spans="2:4" x14ac:dyDescent="0.55000000000000004">
      <c r="C1127" t="s">
        <v>63</v>
      </c>
    </row>
    <row r="1128" spans="2:4" x14ac:dyDescent="0.55000000000000004">
      <c r="D1128" s="222" t="s">
        <v>1472</v>
      </c>
    </row>
    <row r="1129" spans="2:4" x14ac:dyDescent="0.55000000000000004">
      <c r="D1129" s="222" t="s">
        <v>1473</v>
      </c>
    </row>
    <row r="1130" spans="2:4" x14ac:dyDescent="0.55000000000000004">
      <c r="C1130" t="s">
        <v>1485</v>
      </c>
      <c r="D1130" s="222"/>
    </row>
    <row r="1131" spans="2:4" x14ac:dyDescent="0.55000000000000004">
      <c r="D1131" s="222" t="s">
        <v>1488</v>
      </c>
    </row>
    <row r="1132" spans="2:4" x14ac:dyDescent="0.55000000000000004">
      <c r="D1132" s="222" t="s">
        <v>1486</v>
      </c>
    </row>
    <row r="1133" spans="2:4" x14ac:dyDescent="0.55000000000000004">
      <c r="D1133" s="222" t="s">
        <v>1487</v>
      </c>
    </row>
    <row r="1134" spans="2:4" x14ac:dyDescent="0.55000000000000004">
      <c r="B1134" t="s">
        <v>1345</v>
      </c>
    </row>
    <row r="1135" spans="2:4" x14ac:dyDescent="0.55000000000000004">
      <c r="C1135" t="s">
        <v>1471</v>
      </c>
    </row>
    <row r="1136" spans="2:4" x14ac:dyDescent="0.55000000000000004">
      <c r="C1136" s="222" t="s">
        <v>1477</v>
      </c>
    </row>
    <row r="1137" spans="2:4" x14ac:dyDescent="0.55000000000000004">
      <c r="D1137" s="222" t="s">
        <v>1478</v>
      </c>
    </row>
    <row r="1138" spans="2:4" x14ac:dyDescent="0.55000000000000004">
      <c r="D1138" s="222" t="s">
        <v>1479</v>
      </c>
    </row>
    <row r="1139" spans="2:4" x14ac:dyDescent="0.55000000000000004">
      <c r="D1139" s="222" t="s">
        <v>1480</v>
      </c>
    </row>
    <row r="1140" spans="2:4" x14ac:dyDescent="0.55000000000000004">
      <c r="C1140" s="222" t="s">
        <v>1481</v>
      </c>
    </row>
    <row r="1141" spans="2:4" x14ac:dyDescent="0.55000000000000004">
      <c r="B1141" t="s">
        <v>64</v>
      </c>
    </row>
    <row r="1142" spans="2:4" x14ac:dyDescent="0.55000000000000004">
      <c r="C1142" s="222" t="s">
        <v>1489</v>
      </c>
      <c r="D1142" s="222"/>
    </row>
    <row r="1143" spans="2:4" x14ac:dyDescent="0.55000000000000004">
      <c r="C1143" s="222" t="s">
        <v>1490</v>
      </c>
      <c r="D1143" s="222"/>
    </row>
    <row r="1144" spans="2:4" x14ac:dyDescent="0.55000000000000004">
      <c r="C1144" s="222" t="s">
        <v>1491</v>
      </c>
      <c r="D1144" s="222"/>
    </row>
    <row r="1145" spans="2:4" x14ac:dyDescent="0.55000000000000004">
      <c r="C1145" s="222"/>
      <c r="D1145" s="222" t="s">
        <v>1492</v>
      </c>
    </row>
    <row r="1146" spans="2:4" x14ac:dyDescent="0.55000000000000004">
      <c r="C1146" s="222"/>
      <c r="D1146" s="222" t="s">
        <v>1493</v>
      </c>
    </row>
    <row r="1147" spans="2:4" x14ac:dyDescent="0.55000000000000004">
      <c r="B1147" t="s">
        <v>1495</v>
      </c>
    </row>
    <row r="1148" spans="2:4" x14ac:dyDescent="0.55000000000000004">
      <c r="C1148" s="222" t="s">
        <v>1496</v>
      </c>
    </row>
    <row r="1149" spans="2:4" x14ac:dyDescent="0.55000000000000004">
      <c r="C1149" s="222" t="s">
        <v>1497</v>
      </c>
    </row>
    <row r="1150" spans="2:4" x14ac:dyDescent="0.55000000000000004">
      <c r="B1150" t="s">
        <v>1128</v>
      </c>
    </row>
    <row r="1151" spans="2:4" x14ac:dyDescent="0.55000000000000004">
      <c r="C1151" t="s">
        <v>1494</v>
      </c>
    </row>
    <row r="1152" spans="2:4" x14ac:dyDescent="0.55000000000000004">
      <c r="C1152" t="s">
        <v>1498</v>
      </c>
    </row>
    <row r="1153" spans="2:4" x14ac:dyDescent="0.55000000000000004">
      <c r="C1153" t="s">
        <v>1499</v>
      </c>
    </row>
    <row r="1154" spans="2:4" x14ac:dyDescent="0.55000000000000004">
      <c r="C1154" t="s">
        <v>1500</v>
      </c>
    </row>
    <row r="1155" spans="2:4" x14ac:dyDescent="0.55000000000000004">
      <c r="D1155" t="s">
        <v>1501</v>
      </c>
    </row>
    <row r="1156" spans="2:4" x14ac:dyDescent="0.55000000000000004">
      <c r="D1156" t="s">
        <v>1502</v>
      </c>
    </row>
    <row r="1157" spans="2:4" x14ac:dyDescent="0.55000000000000004">
      <c r="C1157" t="s">
        <v>1506</v>
      </c>
    </row>
    <row r="1158" spans="2:4" x14ac:dyDescent="0.55000000000000004">
      <c r="B1158" t="s">
        <v>1503</v>
      </c>
    </row>
    <row r="1159" spans="2:4" x14ac:dyDescent="0.55000000000000004">
      <c r="C1159" t="s">
        <v>1504</v>
      </c>
    </row>
    <row r="1160" spans="2:4" x14ac:dyDescent="0.55000000000000004">
      <c r="C1160" t="s">
        <v>1505</v>
      </c>
    </row>
    <row r="1161" spans="2:4" x14ac:dyDescent="0.55000000000000004">
      <c r="B1161" t="s">
        <v>1507</v>
      </c>
    </row>
    <row r="1162" spans="2:4" x14ac:dyDescent="0.55000000000000004">
      <c r="C1162" t="s">
        <v>1508</v>
      </c>
    </row>
    <row r="1163" spans="2:4" x14ac:dyDescent="0.55000000000000004">
      <c r="C1163" t="s">
        <v>1510</v>
      </c>
    </row>
    <row r="1164" spans="2:4" x14ac:dyDescent="0.55000000000000004">
      <c r="C1164" t="s">
        <v>1511</v>
      </c>
    </row>
    <row r="1165" spans="2:4" x14ac:dyDescent="0.55000000000000004">
      <c r="B1165" t="s">
        <v>1509</v>
      </c>
    </row>
    <row r="1166" spans="2:4" x14ac:dyDescent="0.55000000000000004">
      <c r="C1166" t="s">
        <v>1512</v>
      </c>
    </row>
    <row r="1167" spans="2:4" x14ac:dyDescent="0.55000000000000004">
      <c r="C1167" t="s">
        <v>1513</v>
      </c>
    </row>
    <row r="1168" spans="2:4" x14ac:dyDescent="0.55000000000000004">
      <c r="C1168" t="s">
        <v>1514</v>
      </c>
    </row>
    <row r="1169" spans="2:4" x14ac:dyDescent="0.55000000000000004">
      <c r="C1169" t="s">
        <v>1515</v>
      </c>
    </row>
    <row r="1170" spans="2:4" x14ac:dyDescent="0.55000000000000004">
      <c r="D1170" t="s">
        <v>1516</v>
      </c>
    </row>
    <row r="1171" spans="2:4" x14ac:dyDescent="0.55000000000000004">
      <c r="B1171" t="s">
        <v>74</v>
      </c>
    </row>
    <row r="1172" spans="2:4" x14ac:dyDescent="0.55000000000000004">
      <c r="C1172" t="s">
        <v>1517</v>
      </c>
    </row>
    <row r="1173" spans="2:4" x14ac:dyDescent="0.55000000000000004">
      <c r="C1173" t="s">
        <v>1518</v>
      </c>
    </row>
    <row r="1174" spans="2:4" x14ac:dyDescent="0.55000000000000004">
      <c r="C1174" t="s">
        <v>1519</v>
      </c>
    </row>
    <row r="1175" spans="2:4" x14ac:dyDescent="0.55000000000000004">
      <c r="D1175" t="s">
        <v>1528</v>
      </c>
    </row>
    <row r="1176" spans="2:4" x14ac:dyDescent="0.55000000000000004">
      <c r="B1176" t="s">
        <v>133</v>
      </c>
    </row>
    <row r="1177" spans="2:4" x14ac:dyDescent="0.55000000000000004">
      <c r="C1177" t="s">
        <v>1520</v>
      </c>
    </row>
    <row r="1178" spans="2:4" x14ac:dyDescent="0.55000000000000004">
      <c r="B1178" t="s">
        <v>75</v>
      </c>
    </row>
    <row r="1179" spans="2:4" x14ac:dyDescent="0.55000000000000004">
      <c r="C1179" t="s">
        <v>1521</v>
      </c>
    </row>
    <row r="1180" spans="2:4" x14ac:dyDescent="0.55000000000000004">
      <c r="D1180" t="s">
        <v>1522</v>
      </c>
    </row>
    <row r="1181" spans="2:4" x14ac:dyDescent="0.55000000000000004">
      <c r="D1181" t="s">
        <v>1523</v>
      </c>
    </row>
    <row r="1182" spans="2:4" x14ac:dyDescent="0.55000000000000004">
      <c r="D1182" t="s">
        <v>1524</v>
      </c>
    </row>
    <row r="1183" spans="2:4" x14ac:dyDescent="0.55000000000000004">
      <c r="C1183" t="s">
        <v>1525</v>
      </c>
    </row>
    <row r="1184" spans="2:4" x14ac:dyDescent="0.55000000000000004">
      <c r="C1184" t="s">
        <v>1529</v>
      </c>
    </row>
    <row r="1185" spans="2:4" x14ac:dyDescent="0.55000000000000004">
      <c r="D1185" t="s">
        <v>1530</v>
      </c>
    </row>
    <row r="1186" spans="2:4" x14ac:dyDescent="0.55000000000000004">
      <c r="D1186" t="s">
        <v>1531</v>
      </c>
    </row>
    <row r="1187" spans="2:4" x14ac:dyDescent="0.55000000000000004">
      <c r="D1187" t="s">
        <v>1532</v>
      </c>
    </row>
    <row r="1188" spans="2:4" x14ac:dyDescent="0.55000000000000004">
      <c r="C1188" t="s">
        <v>1534</v>
      </c>
    </row>
    <row r="1189" spans="2:4" x14ac:dyDescent="0.55000000000000004">
      <c r="B1189" t="s">
        <v>1154</v>
      </c>
    </row>
    <row r="1190" spans="2:4" x14ac:dyDescent="0.55000000000000004">
      <c r="C1190" t="s">
        <v>1526</v>
      </c>
    </row>
    <row r="1191" spans="2:4" x14ac:dyDescent="0.55000000000000004">
      <c r="C1191" t="s">
        <v>1527</v>
      </c>
    </row>
    <row r="1192" spans="2:4" x14ac:dyDescent="0.55000000000000004">
      <c r="B1192" t="s">
        <v>134</v>
      </c>
    </row>
    <row r="1193" spans="2:4" x14ac:dyDescent="0.55000000000000004">
      <c r="C1193" t="s">
        <v>1533</v>
      </c>
    </row>
    <row r="1194" spans="2:4" x14ac:dyDescent="0.55000000000000004">
      <c r="B1194" t="s">
        <v>263</v>
      </c>
    </row>
    <row r="1195" spans="2:4" x14ac:dyDescent="0.55000000000000004">
      <c r="C1195" t="s">
        <v>1537</v>
      </c>
    </row>
    <row r="1196" spans="2:4" x14ac:dyDescent="0.55000000000000004">
      <c r="C1196" t="s">
        <v>1538</v>
      </c>
    </row>
    <row r="1197" spans="2:4" x14ac:dyDescent="0.55000000000000004">
      <c r="B1197" t="s">
        <v>1535</v>
      </c>
    </row>
    <row r="1198" spans="2:4" x14ac:dyDescent="0.55000000000000004">
      <c r="C1198" t="s">
        <v>1536</v>
      </c>
    </row>
    <row r="1199" spans="2:4" x14ac:dyDescent="0.55000000000000004">
      <c r="C1199" t="s">
        <v>1539</v>
      </c>
    </row>
    <row r="1200" spans="2:4" x14ac:dyDescent="0.55000000000000004">
      <c r="D1200" t="s">
        <v>1540</v>
      </c>
    </row>
    <row r="1201" spans="2:4" x14ac:dyDescent="0.55000000000000004">
      <c r="D1201" t="s">
        <v>1541</v>
      </c>
    </row>
    <row r="1202" spans="2:4" x14ac:dyDescent="0.55000000000000004">
      <c r="D1202" t="s">
        <v>1542</v>
      </c>
    </row>
    <row r="1203" spans="2:4" x14ac:dyDescent="0.55000000000000004">
      <c r="D1203" t="s">
        <v>1543</v>
      </c>
    </row>
    <row r="1204" spans="2:4" x14ac:dyDescent="0.55000000000000004">
      <c r="B1204" t="s">
        <v>1544</v>
      </c>
    </row>
    <row r="1205" spans="2:4" x14ac:dyDescent="0.55000000000000004">
      <c r="C1205" t="s">
        <v>1548</v>
      </c>
    </row>
    <row r="1206" spans="2:4" x14ac:dyDescent="0.55000000000000004">
      <c r="C1206" t="s">
        <v>1545</v>
      </c>
    </row>
    <row r="1207" spans="2:4" x14ac:dyDescent="0.55000000000000004">
      <c r="B1207" t="s">
        <v>1111</v>
      </c>
    </row>
    <row r="1208" spans="2:4" x14ac:dyDescent="0.55000000000000004">
      <c r="C1208" t="s">
        <v>1546</v>
      </c>
    </row>
    <row r="1209" spans="2:4" x14ac:dyDescent="0.55000000000000004">
      <c r="C1209" t="s">
        <v>1547</v>
      </c>
    </row>
    <row r="1210" spans="2:4" x14ac:dyDescent="0.55000000000000004">
      <c r="B1210" t="s">
        <v>1549</v>
      </c>
    </row>
    <row r="1211" spans="2:4" x14ac:dyDescent="0.55000000000000004">
      <c r="C1211" t="s">
        <v>1550</v>
      </c>
    </row>
    <row r="1212" spans="2:4" x14ac:dyDescent="0.55000000000000004">
      <c r="C1212" t="s">
        <v>1551</v>
      </c>
    </row>
    <row r="1214" spans="2:4" x14ac:dyDescent="0.55000000000000004">
      <c r="B1214" s="22" t="s">
        <v>1552</v>
      </c>
    </row>
    <row r="1216" spans="2:4" x14ac:dyDescent="0.55000000000000004">
      <c r="B1216" t="s">
        <v>146</v>
      </c>
    </row>
    <row r="1217" spans="2:4" x14ac:dyDescent="0.55000000000000004">
      <c r="C1217" t="s">
        <v>1553</v>
      </c>
    </row>
    <row r="1218" spans="2:4" x14ac:dyDescent="0.55000000000000004">
      <c r="C1218" t="s">
        <v>1555</v>
      </c>
    </row>
    <row r="1219" spans="2:4" x14ac:dyDescent="0.55000000000000004">
      <c r="D1219" t="s">
        <v>1554</v>
      </c>
    </row>
    <row r="1220" spans="2:4" x14ac:dyDescent="0.55000000000000004">
      <c r="B1220" t="s">
        <v>1556</v>
      </c>
    </row>
    <row r="1221" spans="2:4" x14ac:dyDescent="0.55000000000000004">
      <c r="C1221" t="s">
        <v>1557</v>
      </c>
    </row>
    <row r="1222" spans="2:4" x14ac:dyDescent="0.55000000000000004">
      <c r="B1222" t="s">
        <v>1558</v>
      </c>
    </row>
    <row r="1223" spans="2:4" x14ac:dyDescent="0.55000000000000004">
      <c r="C1223" t="s">
        <v>1559</v>
      </c>
    </row>
    <row r="1225" spans="2:4" x14ac:dyDescent="0.55000000000000004">
      <c r="B1225" s="22" t="s">
        <v>1562</v>
      </c>
    </row>
    <row r="1226" spans="2:4" x14ac:dyDescent="0.55000000000000004">
      <c r="B1226" s="22"/>
    </row>
    <row r="1227" spans="2:4" x14ac:dyDescent="0.55000000000000004">
      <c r="B1227" t="s">
        <v>1561</v>
      </c>
    </row>
    <row r="1228" spans="2:4" x14ac:dyDescent="0.55000000000000004">
      <c r="C1228" t="s">
        <v>1563</v>
      </c>
    </row>
    <row r="1229" spans="2:4" x14ac:dyDescent="0.55000000000000004">
      <c r="B1229" t="s">
        <v>1560</v>
      </c>
    </row>
    <row r="1231" spans="2:4" x14ac:dyDescent="0.55000000000000004">
      <c r="B1231" t="s">
        <v>676</v>
      </c>
    </row>
    <row r="1233" spans="2:3" x14ac:dyDescent="0.55000000000000004">
      <c r="B1233" t="s">
        <v>75</v>
      </c>
    </row>
    <row r="1235" spans="2:3" x14ac:dyDescent="0.55000000000000004">
      <c r="B1235" s="22" t="s">
        <v>1653</v>
      </c>
    </row>
    <row r="1237" spans="2:3" x14ac:dyDescent="0.55000000000000004">
      <c r="B1237" t="s">
        <v>1654</v>
      </c>
    </row>
    <row r="1238" spans="2:3" x14ac:dyDescent="0.55000000000000004">
      <c r="B1238" t="s">
        <v>69</v>
      </c>
    </row>
    <row r="1239" spans="2:3" x14ac:dyDescent="0.55000000000000004">
      <c r="C1239" t="s">
        <v>1656</v>
      </c>
    </row>
    <row r="1240" spans="2:3" x14ac:dyDescent="0.55000000000000004">
      <c r="B1240" t="s">
        <v>1655</v>
      </c>
    </row>
    <row r="1241" spans="2:3" x14ac:dyDescent="0.55000000000000004">
      <c r="C1241" t="s">
        <v>1657</v>
      </c>
    </row>
    <row r="1242" spans="2:3" x14ac:dyDescent="0.55000000000000004">
      <c r="C1242" t="s">
        <v>1658</v>
      </c>
    </row>
    <row r="1243" spans="2:3" x14ac:dyDescent="0.55000000000000004">
      <c r="C1243" t="s">
        <v>1659</v>
      </c>
    </row>
    <row r="1244" spans="2:3" x14ac:dyDescent="0.55000000000000004">
      <c r="B1244" t="s">
        <v>1660</v>
      </c>
    </row>
    <row r="1245" spans="2:3" x14ac:dyDescent="0.55000000000000004">
      <c r="C1245" t="s">
        <v>1661</v>
      </c>
    </row>
    <row r="1246" spans="2:3" x14ac:dyDescent="0.55000000000000004">
      <c r="C1246" t="s">
        <v>1662</v>
      </c>
    </row>
    <row r="1247" spans="2:3" x14ac:dyDescent="0.55000000000000004">
      <c r="C1247" t="s">
        <v>1663</v>
      </c>
    </row>
    <row r="1248" spans="2:3" x14ac:dyDescent="0.55000000000000004">
      <c r="B1248" t="s">
        <v>1664</v>
      </c>
    </row>
    <row r="1250" spans="2:3" x14ac:dyDescent="0.55000000000000004">
      <c r="B1250" t="s">
        <v>1665</v>
      </c>
    </row>
    <row r="1251" spans="2:3" x14ac:dyDescent="0.55000000000000004">
      <c r="B1251" t="s">
        <v>1666</v>
      </c>
    </row>
    <row r="1252" spans="2:3" x14ac:dyDescent="0.55000000000000004">
      <c r="B1252" t="s">
        <v>1667</v>
      </c>
    </row>
    <row r="1254" spans="2:3" x14ac:dyDescent="0.55000000000000004">
      <c r="B1254" t="s">
        <v>1668</v>
      </c>
    </row>
    <row r="1256" spans="2:3" x14ac:dyDescent="0.55000000000000004">
      <c r="B1256" t="s">
        <v>79</v>
      </c>
    </row>
    <row r="1257" spans="2:3" x14ac:dyDescent="0.55000000000000004">
      <c r="C1257" t="s">
        <v>71</v>
      </c>
    </row>
    <row r="1258" spans="2:3" x14ac:dyDescent="0.55000000000000004">
      <c r="C1258" t="s">
        <v>1672</v>
      </c>
    </row>
    <row r="1259" spans="2:3" x14ac:dyDescent="0.55000000000000004">
      <c r="C1259" t="s">
        <v>1669</v>
      </c>
    </row>
    <row r="1260" spans="2:3" x14ac:dyDescent="0.55000000000000004">
      <c r="C1260" t="s">
        <v>1670</v>
      </c>
    </row>
    <row r="1261" spans="2:3" x14ac:dyDescent="0.55000000000000004">
      <c r="C1261" t="s">
        <v>1671</v>
      </c>
    </row>
    <row r="1262" spans="2:3" x14ac:dyDescent="0.55000000000000004">
      <c r="B1262" t="s">
        <v>1638</v>
      </c>
    </row>
    <row r="1263" spans="2:3" x14ac:dyDescent="0.55000000000000004">
      <c r="C1263" t="s">
        <v>1673</v>
      </c>
    </row>
    <row r="1264" spans="2:3" x14ac:dyDescent="0.55000000000000004">
      <c r="C1264" t="s">
        <v>1674</v>
      </c>
    </row>
    <row r="1265" spans="2:47" x14ac:dyDescent="0.55000000000000004">
      <c r="B1265" t="s">
        <v>1675</v>
      </c>
    </row>
    <row r="1266" spans="2:47" x14ac:dyDescent="0.55000000000000004">
      <c r="C1266" t="s">
        <v>1676</v>
      </c>
    </row>
    <row r="1268" spans="2:47" x14ac:dyDescent="0.55000000000000004">
      <c r="B1268" s="22" t="s">
        <v>1742</v>
      </c>
    </row>
    <row r="1270" spans="2:47" x14ac:dyDescent="0.55000000000000004">
      <c r="B1270" t="s">
        <v>1764</v>
      </c>
    </row>
    <row r="1271" spans="2:47" x14ac:dyDescent="0.55000000000000004">
      <c r="B1271" t="s">
        <v>1765</v>
      </c>
    </row>
    <row r="1272" spans="2:47" x14ac:dyDescent="0.55000000000000004">
      <c r="B1272" t="s">
        <v>1743</v>
      </c>
    </row>
    <row r="1273" spans="2:47" x14ac:dyDescent="0.55000000000000004">
      <c r="B1273" t="s">
        <v>75</v>
      </c>
    </row>
    <row r="1274" spans="2:47" x14ac:dyDescent="0.55000000000000004">
      <c r="C1274" t="s">
        <v>1744</v>
      </c>
    </row>
    <row r="1275" spans="2:47" x14ac:dyDescent="0.55000000000000004">
      <c r="D1275" t="s">
        <v>1748</v>
      </c>
    </row>
    <row r="1277" spans="2:47" x14ac:dyDescent="0.55000000000000004">
      <c r="C1277" t="s">
        <v>1745</v>
      </c>
    </row>
    <row r="1278" spans="2:47" x14ac:dyDescent="0.55000000000000004">
      <c r="C1278" t="s">
        <v>1747</v>
      </c>
    </row>
    <row r="1279" spans="2:47" x14ac:dyDescent="0.55000000000000004">
      <c r="D1279" t="s">
        <v>1746</v>
      </c>
    </row>
    <row r="1280" spans="2:47" x14ac:dyDescent="0.55000000000000004">
      <c r="C1280" t="s">
        <v>1751</v>
      </c>
      <c r="D1280" s="10" t="s">
        <v>1773</v>
      </c>
      <c r="AS1280" t="s">
        <v>1760</v>
      </c>
      <c r="AU1280" t="s">
        <v>598</v>
      </c>
    </row>
    <row r="1281" spans="2:48" x14ac:dyDescent="0.55000000000000004">
      <c r="D1281" s="10" t="s">
        <v>1774</v>
      </c>
    </row>
    <row r="1282" spans="2:48" x14ac:dyDescent="0.55000000000000004">
      <c r="D1282" t="s">
        <v>1752</v>
      </c>
      <c r="AS1282" s="9">
        <f>Analysis!AH915/Analysis!AI915</f>
        <v>66.666666666666671</v>
      </c>
      <c r="AU1282">
        <v>27</v>
      </c>
    </row>
    <row r="1283" spans="2:48" x14ac:dyDescent="0.55000000000000004">
      <c r="D1283" t="s">
        <v>1753</v>
      </c>
    </row>
    <row r="1284" spans="2:48" x14ac:dyDescent="0.55000000000000004">
      <c r="E1284" t="s">
        <v>1754</v>
      </c>
      <c r="AU1284">
        <v>24</v>
      </c>
    </row>
    <row r="1285" spans="2:48" x14ac:dyDescent="0.55000000000000004">
      <c r="E1285" t="s">
        <v>1755</v>
      </c>
      <c r="AU1285">
        <f>AU1282-AU1284</f>
        <v>3</v>
      </c>
      <c r="AV1285" t="s">
        <v>1762</v>
      </c>
    </row>
    <row r="1286" spans="2:48" x14ac:dyDescent="0.55000000000000004">
      <c r="B1286" t="s">
        <v>64</v>
      </c>
      <c r="J1286" t="s">
        <v>1763</v>
      </c>
    </row>
    <row r="1287" spans="2:48" x14ac:dyDescent="0.55000000000000004">
      <c r="C1287" t="s">
        <v>390</v>
      </c>
    </row>
    <row r="1288" spans="2:48" x14ac:dyDescent="0.55000000000000004">
      <c r="D1288" t="s">
        <v>1749</v>
      </c>
    </row>
    <row r="1289" spans="2:48" x14ac:dyDescent="0.55000000000000004">
      <c r="D1289" t="s">
        <v>1750</v>
      </c>
    </row>
    <row r="1291" spans="2:48" x14ac:dyDescent="0.55000000000000004">
      <c r="B1291" s="22" t="s">
        <v>423</v>
      </c>
    </row>
    <row r="1293" spans="2:48" x14ac:dyDescent="0.55000000000000004">
      <c r="B1293" t="s">
        <v>1793</v>
      </c>
    </row>
    <row r="1295" spans="2:48" x14ac:dyDescent="0.55000000000000004">
      <c r="B1295" s="22" t="s">
        <v>1842</v>
      </c>
    </row>
    <row r="1297" spans="1:4" x14ac:dyDescent="0.55000000000000004">
      <c r="B1297" t="s">
        <v>1817</v>
      </c>
    </row>
    <row r="1298" spans="1:4" x14ac:dyDescent="0.55000000000000004">
      <c r="C1298" t="s">
        <v>1803</v>
      </c>
    </row>
    <row r="1299" spans="1:4" x14ac:dyDescent="0.55000000000000004">
      <c r="C1299" t="s">
        <v>1804</v>
      </c>
    </row>
    <row r="1300" spans="1:4" x14ac:dyDescent="0.55000000000000004">
      <c r="A1300" t="s">
        <v>444</v>
      </c>
      <c r="B1300" t="s">
        <v>1850</v>
      </c>
    </row>
    <row r="1302" spans="1:4" x14ac:dyDescent="0.55000000000000004">
      <c r="B1302" t="s">
        <v>1805</v>
      </c>
    </row>
    <row r="1303" spans="1:4" x14ac:dyDescent="0.55000000000000004">
      <c r="C1303" t="s">
        <v>1854</v>
      </c>
    </row>
    <row r="1304" spans="1:4" x14ac:dyDescent="0.55000000000000004">
      <c r="C1304" t="s">
        <v>1806</v>
      </c>
    </row>
    <row r="1305" spans="1:4" x14ac:dyDescent="0.55000000000000004">
      <c r="C1305" t="s">
        <v>1807</v>
      </c>
    </row>
    <row r="1306" spans="1:4" x14ac:dyDescent="0.55000000000000004">
      <c r="B1306" t="s">
        <v>75</v>
      </c>
    </row>
    <row r="1307" spans="1:4" x14ac:dyDescent="0.55000000000000004">
      <c r="A1307" t="s">
        <v>444</v>
      </c>
      <c r="C1307" t="s">
        <v>1874</v>
      </c>
    </row>
    <row r="1308" spans="1:4" x14ac:dyDescent="0.55000000000000004">
      <c r="A1308" t="s">
        <v>444</v>
      </c>
      <c r="C1308" t="s">
        <v>1809</v>
      </c>
    </row>
    <row r="1309" spans="1:4" x14ac:dyDescent="0.55000000000000004">
      <c r="D1309" t="s">
        <v>1810</v>
      </c>
    </row>
    <row r="1310" spans="1:4" x14ac:dyDescent="0.55000000000000004">
      <c r="C1310" t="s">
        <v>1811</v>
      </c>
    </row>
    <row r="1311" spans="1:4" x14ac:dyDescent="0.55000000000000004">
      <c r="D1311" t="s">
        <v>1812</v>
      </c>
    </row>
    <row r="1312" spans="1:4" x14ac:dyDescent="0.55000000000000004">
      <c r="C1312" t="s">
        <v>1829</v>
      </c>
    </row>
    <row r="1313" spans="1:5" x14ac:dyDescent="0.55000000000000004">
      <c r="A1313" t="s">
        <v>444</v>
      </c>
      <c r="C1313" t="s">
        <v>1808</v>
      </c>
    </row>
    <row r="1314" spans="1:5" x14ac:dyDescent="0.55000000000000004">
      <c r="C1314" t="s">
        <v>1813</v>
      </c>
    </row>
    <row r="1315" spans="1:5" x14ac:dyDescent="0.55000000000000004">
      <c r="C1315" t="s">
        <v>1826</v>
      </c>
    </row>
    <row r="1316" spans="1:5" x14ac:dyDescent="0.55000000000000004">
      <c r="D1316" s="222" t="s">
        <v>1843</v>
      </c>
    </row>
    <row r="1317" spans="1:5" x14ac:dyDescent="0.55000000000000004">
      <c r="D1317" s="222"/>
      <c r="E1317" s="222" t="s">
        <v>1870</v>
      </c>
    </row>
    <row r="1318" spans="1:5" x14ac:dyDescent="0.55000000000000004">
      <c r="D1318" s="222"/>
      <c r="E1318" s="222" t="s">
        <v>1871</v>
      </c>
    </row>
    <row r="1319" spans="1:5" x14ac:dyDescent="0.55000000000000004">
      <c r="D1319" s="222"/>
      <c r="E1319" s="222" t="s">
        <v>1872</v>
      </c>
    </row>
    <row r="1320" spans="1:5" x14ac:dyDescent="0.55000000000000004">
      <c r="D1320" s="222"/>
      <c r="E1320" s="222" t="s">
        <v>1873</v>
      </c>
    </row>
    <row r="1321" spans="1:5" x14ac:dyDescent="0.55000000000000004">
      <c r="D1321" s="222" t="s">
        <v>1849</v>
      </c>
    </row>
    <row r="1322" spans="1:5" x14ac:dyDescent="0.55000000000000004">
      <c r="D1322" s="222" t="s">
        <v>1844</v>
      </c>
    </row>
    <row r="1323" spans="1:5" x14ac:dyDescent="0.55000000000000004">
      <c r="D1323" s="222" t="s">
        <v>1845</v>
      </c>
    </row>
    <row r="1324" spans="1:5" x14ac:dyDescent="0.55000000000000004">
      <c r="D1324" s="222"/>
    </row>
    <row r="1325" spans="1:5" x14ac:dyDescent="0.55000000000000004">
      <c r="B1325" t="s">
        <v>1819</v>
      </c>
    </row>
    <row r="1326" spans="1:5" x14ac:dyDescent="0.55000000000000004">
      <c r="C1326" t="s">
        <v>1830</v>
      </c>
    </row>
    <row r="1327" spans="1:5" x14ac:dyDescent="0.55000000000000004">
      <c r="C1327" t="s">
        <v>1818</v>
      </c>
    </row>
    <row r="1328" spans="1:5" x14ac:dyDescent="0.55000000000000004">
      <c r="B1328" t="s">
        <v>79</v>
      </c>
    </row>
    <row r="1329" spans="1:3" x14ac:dyDescent="0.55000000000000004">
      <c r="C1329" t="s">
        <v>1814</v>
      </c>
    </row>
    <row r="1330" spans="1:3" x14ac:dyDescent="0.55000000000000004">
      <c r="A1330" t="s">
        <v>444</v>
      </c>
      <c r="B1330" t="s">
        <v>1822</v>
      </c>
    </row>
    <row r="1331" spans="1:3" x14ac:dyDescent="0.55000000000000004">
      <c r="C1331" t="s">
        <v>1823</v>
      </c>
    </row>
    <row r="1332" spans="1:3" x14ac:dyDescent="0.55000000000000004">
      <c r="B1332" t="s">
        <v>1839</v>
      </c>
    </row>
    <row r="1333" spans="1:3" x14ac:dyDescent="0.55000000000000004">
      <c r="C1333" t="s">
        <v>1840</v>
      </c>
    </row>
    <row r="1334" spans="1:3" x14ac:dyDescent="0.55000000000000004">
      <c r="C1334" t="s">
        <v>1841</v>
      </c>
    </row>
    <row r="1336" spans="1:3" x14ac:dyDescent="0.55000000000000004">
      <c r="B1336" s="7" t="s">
        <v>1723</v>
      </c>
    </row>
    <row r="1337" spans="1:3" x14ac:dyDescent="0.55000000000000004">
      <c r="C1337" t="s">
        <v>1820</v>
      </c>
    </row>
    <row r="1338" spans="1:3" x14ac:dyDescent="0.55000000000000004">
      <c r="C1338" t="s">
        <v>1821</v>
      </c>
    </row>
    <row r="1340" spans="1:3" x14ac:dyDescent="0.55000000000000004">
      <c r="B1340" s="7" t="s">
        <v>1345</v>
      </c>
    </row>
    <row r="1341" spans="1:3" x14ac:dyDescent="0.55000000000000004">
      <c r="C1341" t="s">
        <v>1825</v>
      </c>
    </row>
    <row r="1342" spans="1:3" x14ac:dyDescent="0.55000000000000004">
      <c r="C1342" t="s">
        <v>1824</v>
      </c>
    </row>
    <row r="1344" spans="1:3" x14ac:dyDescent="0.55000000000000004">
      <c r="B1344" t="s">
        <v>75</v>
      </c>
    </row>
    <row r="1345" spans="2:3" x14ac:dyDescent="0.55000000000000004">
      <c r="C1345" t="s">
        <v>1827</v>
      </c>
    </row>
    <row r="1346" spans="2:3" x14ac:dyDescent="0.55000000000000004">
      <c r="C1346" t="s">
        <v>1828</v>
      </c>
    </row>
    <row r="1347" spans="2:3" x14ac:dyDescent="0.55000000000000004">
      <c r="B1347" t="s">
        <v>1831</v>
      </c>
    </row>
    <row r="1348" spans="2:3" x14ac:dyDescent="0.55000000000000004">
      <c r="C1348" t="s">
        <v>1832</v>
      </c>
    </row>
    <row r="1349" spans="2:3" x14ac:dyDescent="0.55000000000000004">
      <c r="B1349" t="s">
        <v>1833</v>
      </c>
    </row>
    <row r="1350" spans="2:3" x14ac:dyDescent="0.55000000000000004">
      <c r="C1350" t="s">
        <v>1834</v>
      </c>
    </row>
    <row r="1351" spans="2:3" x14ac:dyDescent="0.55000000000000004">
      <c r="C1351" t="s">
        <v>1835</v>
      </c>
    </row>
    <row r="1352" spans="2:3" x14ac:dyDescent="0.55000000000000004">
      <c r="C1352" t="s">
        <v>1836</v>
      </c>
    </row>
    <row r="1353" spans="2:3" x14ac:dyDescent="0.55000000000000004">
      <c r="B1353" t="s">
        <v>1837</v>
      </c>
    </row>
    <row r="1354" spans="2:3" x14ac:dyDescent="0.55000000000000004">
      <c r="C1354" t="s">
        <v>1838</v>
      </c>
    </row>
    <row r="1355" spans="2:3" x14ac:dyDescent="0.55000000000000004">
      <c r="B1355" s="22" t="s">
        <v>433</v>
      </c>
    </row>
    <row r="1357" spans="2:3" x14ac:dyDescent="0.55000000000000004">
      <c r="B1357" s="222" t="s">
        <v>198</v>
      </c>
    </row>
    <row r="1358" spans="2:3" x14ac:dyDescent="0.55000000000000004">
      <c r="C1358" s="222" t="s">
        <v>1846</v>
      </c>
    </row>
    <row r="1359" spans="2:3" x14ac:dyDescent="0.55000000000000004">
      <c r="C1359" s="222" t="s">
        <v>1847</v>
      </c>
    </row>
    <row r="1360" spans="2:3" x14ac:dyDescent="0.55000000000000004">
      <c r="B1360" s="222" t="s">
        <v>69</v>
      </c>
    </row>
    <row r="1361" spans="2:4" x14ac:dyDescent="0.55000000000000004">
      <c r="B1361" s="222"/>
      <c r="C1361" s="222" t="s">
        <v>1857</v>
      </c>
    </row>
    <row r="1362" spans="2:4" x14ac:dyDescent="0.55000000000000004">
      <c r="C1362" s="222" t="s">
        <v>1848</v>
      </c>
    </row>
    <row r="1363" spans="2:4" x14ac:dyDescent="0.55000000000000004">
      <c r="B1363" s="222" t="s">
        <v>1851</v>
      </c>
    </row>
    <row r="1364" spans="2:4" x14ac:dyDescent="0.55000000000000004">
      <c r="C1364" s="222" t="s">
        <v>1852</v>
      </c>
    </row>
    <row r="1365" spans="2:4" x14ac:dyDescent="0.55000000000000004">
      <c r="C1365" s="222" t="s">
        <v>1853</v>
      </c>
    </row>
    <row r="1366" spans="2:4" x14ac:dyDescent="0.55000000000000004">
      <c r="B1366" s="222" t="s">
        <v>1855</v>
      </c>
    </row>
    <row r="1367" spans="2:4" x14ac:dyDescent="0.55000000000000004">
      <c r="C1367" s="222" t="s">
        <v>1856</v>
      </c>
    </row>
    <row r="1368" spans="2:4" x14ac:dyDescent="0.55000000000000004">
      <c r="B1368" s="222" t="s">
        <v>1858</v>
      </c>
    </row>
    <row r="1370" spans="2:4" x14ac:dyDescent="0.55000000000000004">
      <c r="B1370" s="222" t="s">
        <v>1859</v>
      </c>
    </row>
    <row r="1371" spans="2:4" x14ac:dyDescent="0.55000000000000004">
      <c r="C1371" s="222" t="s">
        <v>1860</v>
      </c>
    </row>
    <row r="1372" spans="2:4" x14ac:dyDescent="0.55000000000000004">
      <c r="C1372" s="222" t="s">
        <v>1861</v>
      </c>
    </row>
    <row r="1373" spans="2:4" x14ac:dyDescent="0.55000000000000004">
      <c r="C1373" s="222" t="s">
        <v>1862</v>
      </c>
    </row>
    <row r="1374" spans="2:4" x14ac:dyDescent="0.55000000000000004">
      <c r="D1374" s="222" t="s">
        <v>1863</v>
      </c>
    </row>
    <row r="1375" spans="2:4" x14ac:dyDescent="0.55000000000000004">
      <c r="B1375" s="222" t="s">
        <v>1864</v>
      </c>
    </row>
    <row r="1376" spans="2:4" x14ac:dyDescent="0.55000000000000004">
      <c r="C1376" s="222" t="s">
        <v>1865</v>
      </c>
    </row>
    <row r="1377" spans="2:4" x14ac:dyDescent="0.55000000000000004">
      <c r="C1377" s="222" t="s">
        <v>1866</v>
      </c>
    </row>
    <row r="1378" spans="2:4" x14ac:dyDescent="0.55000000000000004">
      <c r="C1378" s="222" t="s">
        <v>1867</v>
      </c>
    </row>
    <row r="1379" spans="2:4" x14ac:dyDescent="0.55000000000000004">
      <c r="B1379" s="222" t="s">
        <v>1868</v>
      </c>
      <c r="C1379" s="222"/>
    </row>
    <row r="1381" spans="2:4" x14ac:dyDescent="0.55000000000000004">
      <c r="B1381" s="222" t="s">
        <v>1869</v>
      </c>
    </row>
    <row r="1383" spans="2:4" x14ac:dyDescent="0.55000000000000004">
      <c r="B1383" s="22" t="s">
        <v>1875</v>
      </c>
    </row>
    <row r="1385" spans="2:4" x14ac:dyDescent="0.55000000000000004">
      <c r="B1385" t="s">
        <v>75</v>
      </c>
    </row>
    <row r="1386" spans="2:4" x14ac:dyDescent="0.55000000000000004">
      <c r="C1386" t="s">
        <v>1876</v>
      </c>
    </row>
    <row r="1387" spans="2:4" x14ac:dyDescent="0.55000000000000004">
      <c r="D1387" t="s">
        <v>1877</v>
      </c>
    </row>
    <row r="1388" spans="2:4" x14ac:dyDescent="0.55000000000000004">
      <c r="D1388" t="s">
        <v>1878</v>
      </c>
    </row>
    <row r="1389" spans="2:4" x14ac:dyDescent="0.55000000000000004">
      <c r="C1389" t="s">
        <v>1879</v>
      </c>
    </row>
    <row r="1390" spans="2:4" x14ac:dyDescent="0.55000000000000004">
      <c r="D1390" t="s">
        <v>1880</v>
      </c>
    </row>
    <row r="1391" spans="2:4" x14ac:dyDescent="0.55000000000000004">
      <c r="D1391" t="s">
        <v>1881</v>
      </c>
    </row>
    <row r="1392" spans="2:4" x14ac:dyDescent="0.55000000000000004">
      <c r="C1392" t="s">
        <v>1882</v>
      </c>
    </row>
    <row r="1393" spans="2:4" x14ac:dyDescent="0.55000000000000004">
      <c r="D1393" t="s">
        <v>1883</v>
      </c>
    </row>
    <row r="1394" spans="2:4" x14ac:dyDescent="0.55000000000000004">
      <c r="D1394" t="s">
        <v>1884</v>
      </c>
    </row>
    <row r="1395" spans="2:4" x14ac:dyDescent="0.55000000000000004">
      <c r="D1395" t="s">
        <v>1885</v>
      </c>
    </row>
    <row r="1396" spans="2:4" x14ac:dyDescent="0.55000000000000004">
      <c r="C1396" t="s">
        <v>1886</v>
      </c>
    </row>
    <row r="1397" spans="2:4" x14ac:dyDescent="0.55000000000000004">
      <c r="D1397" t="s">
        <v>1887</v>
      </c>
    </row>
    <row r="1398" spans="2:4" x14ac:dyDescent="0.55000000000000004">
      <c r="C1398" t="s">
        <v>1888</v>
      </c>
    </row>
    <row r="1400" spans="2:4" x14ac:dyDescent="0.55000000000000004">
      <c r="C1400" t="s">
        <v>1639</v>
      </c>
    </row>
    <row r="1401" spans="2:4" x14ac:dyDescent="0.55000000000000004">
      <c r="D1401" t="s">
        <v>1892</v>
      </c>
    </row>
    <row r="1402" spans="2:4" x14ac:dyDescent="0.55000000000000004">
      <c r="D1402" t="s">
        <v>1889</v>
      </c>
    </row>
    <row r="1403" spans="2:4" x14ac:dyDescent="0.55000000000000004">
      <c r="D1403" t="s">
        <v>1890</v>
      </c>
    </row>
    <row r="1404" spans="2:4" x14ac:dyDescent="0.55000000000000004">
      <c r="D1404" t="s">
        <v>1891</v>
      </c>
    </row>
    <row r="1405" spans="2:4" x14ac:dyDescent="0.55000000000000004">
      <c r="C1405" t="s">
        <v>1893</v>
      </c>
    </row>
    <row r="1406" spans="2:4" x14ac:dyDescent="0.55000000000000004">
      <c r="D1406" t="s">
        <v>1894</v>
      </c>
    </row>
    <row r="1407" spans="2:4" x14ac:dyDescent="0.55000000000000004">
      <c r="D1407" t="s">
        <v>1895</v>
      </c>
    </row>
    <row r="1408" spans="2:4" x14ac:dyDescent="0.55000000000000004">
      <c r="B1408" t="s">
        <v>1896</v>
      </c>
    </row>
    <row r="1409" spans="1:5" x14ac:dyDescent="0.55000000000000004">
      <c r="C1409" t="s">
        <v>1898</v>
      </c>
    </row>
    <row r="1410" spans="1:5" x14ac:dyDescent="0.55000000000000004">
      <c r="D1410" t="s">
        <v>1899</v>
      </c>
    </row>
    <row r="1411" spans="1:5" x14ac:dyDescent="0.55000000000000004">
      <c r="D1411" t="s">
        <v>1900</v>
      </c>
    </row>
    <row r="1412" spans="1:5" x14ac:dyDescent="0.55000000000000004">
      <c r="E1412" t="s">
        <v>1901</v>
      </c>
    </row>
    <row r="1413" spans="1:5" x14ac:dyDescent="0.55000000000000004">
      <c r="E1413" t="s">
        <v>1902</v>
      </c>
    </row>
    <row r="1414" spans="1:5" x14ac:dyDescent="0.55000000000000004">
      <c r="D1414" t="s">
        <v>1903</v>
      </c>
    </row>
    <row r="1415" spans="1:5" x14ac:dyDescent="0.55000000000000004">
      <c r="C1415" t="s">
        <v>1897</v>
      </c>
    </row>
    <row r="1417" spans="1:5" x14ac:dyDescent="0.55000000000000004">
      <c r="B1417" s="22" t="s">
        <v>1914</v>
      </c>
    </row>
    <row r="1419" spans="1:5" x14ac:dyDescent="0.55000000000000004">
      <c r="B1419" t="s">
        <v>1916</v>
      </c>
    </row>
    <row r="1420" spans="1:5" x14ac:dyDescent="0.55000000000000004">
      <c r="B1420" t="s">
        <v>1925</v>
      </c>
    </row>
    <row r="1421" spans="1:5" x14ac:dyDescent="0.55000000000000004">
      <c r="A1421" t="s">
        <v>1939</v>
      </c>
      <c r="C1421" t="s">
        <v>1923</v>
      </c>
    </row>
    <row r="1422" spans="1:5" x14ac:dyDescent="0.55000000000000004">
      <c r="C1422" t="s">
        <v>1924</v>
      </c>
    </row>
    <row r="1423" spans="1:5" x14ac:dyDescent="0.55000000000000004">
      <c r="B1423" t="s">
        <v>1113</v>
      </c>
    </row>
    <row r="1424" spans="1:5" x14ac:dyDescent="0.55000000000000004">
      <c r="C1424" t="s">
        <v>1933</v>
      </c>
    </row>
    <row r="1425" spans="1:4" x14ac:dyDescent="0.55000000000000004">
      <c r="D1425" t="s">
        <v>1934</v>
      </c>
    </row>
    <row r="1426" spans="1:4" x14ac:dyDescent="0.55000000000000004">
      <c r="C1426" t="s">
        <v>1926</v>
      </c>
    </row>
    <row r="1427" spans="1:4" x14ac:dyDescent="0.55000000000000004">
      <c r="D1427" t="s">
        <v>1927</v>
      </c>
    </row>
    <row r="1428" spans="1:4" x14ac:dyDescent="0.55000000000000004">
      <c r="D1428" t="s">
        <v>548</v>
      </c>
    </row>
    <row r="1429" spans="1:4" x14ac:dyDescent="0.55000000000000004">
      <c r="B1429" t="s">
        <v>1930</v>
      </c>
    </row>
    <row r="1430" spans="1:4" x14ac:dyDescent="0.55000000000000004">
      <c r="A1430" t="s">
        <v>1939</v>
      </c>
      <c r="C1430" t="s">
        <v>1931</v>
      </c>
    </row>
    <row r="1431" spans="1:4" x14ac:dyDescent="0.55000000000000004">
      <c r="B1431" t="s">
        <v>471</v>
      </c>
    </row>
    <row r="1432" spans="1:4" x14ac:dyDescent="0.55000000000000004">
      <c r="C1432" t="s">
        <v>1928</v>
      </c>
    </row>
    <row r="1433" spans="1:4" x14ac:dyDescent="0.55000000000000004">
      <c r="C1433" t="s">
        <v>1929</v>
      </c>
    </row>
    <row r="1434" spans="1:4" x14ac:dyDescent="0.55000000000000004">
      <c r="B1434" t="s">
        <v>64</v>
      </c>
    </row>
    <row r="1435" spans="1:4" x14ac:dyDescent="0.55000000000000004">
      <c r="C1435" t="s">
        <v>1917</v>
      </c>
    </row>
    <row r="1436" spans="1:4" x14ac:dyDescent="0.55000000000000004">
      <c r="A1436" t="s">
        <v>1939</v>
      </c>
      <c r="C1436" t="s">
        <v>1940</v>
      </c>
    </row>
    <row r="1437" spans="1:4" x14ac:dyDescent="0.55000000000000004">
      <c r="C1437" t="s">
        <v>1918</v>
      </c>
    </row>
    <row r="1438" spans="1:4" x14ac:dyDescent="0.55000000000000004">
      <c r="B1438" t="s">
        <v>75</v>
      </c>
    </row>
    <row r="1439" spans="1:4" x14ac:dyDescent="0.55000000000000004">
      <c r="C1439" t="s">
        <v>1921</v>
      </c>
    </row>
    <row r="1440" spans="1:4" x14ac:dyDescent="0.55000000000000004">
      <c r="C1440" t="s">
        <v>1922</v>
      </c>
    </row>
    <row r="1441" spans="1:4" x14ac:dyDescent="0.55000000000000004">
      <c r="B1441" t="s">
        <v>198</v>
      </c>
    </row>
    <row r="1442" spans="1:4" x14ac:dyDescent="0.55000000000000004">
      <c r="C1442" t="s">
        <v>1932</v>
      </c>
    </row>
    <row r="1443" spans="1:4" x14ac:dyDescent="0.55000000000000004">
      <c r="C1443" t="s">
        <v>1937</v>
      </c>
    </row>
    <row r="1444" spans="1:4" x14ac:dyDescent="0.55000000000000004">
      <c r="A1444" t="s">
        <v>1939</v>
      </c>
      <c r="C1444" t="s">
        <v>1938</v>
      </c>
    </row>
    <row r="1445" spans="1:4" x14ac:dyDescent="0.55000000000000004">
      <c r="B1445" t="s">
        <v>1919</v>
      </c>
    </row>
    <row r="1446" spans="1:4" x14ac:dyDescent="0.55000000000000004">
      <c r="C1446" t="s">
        <v>1920</v>
      </c>
    </row>
    <row r="1447" spans="1:4" x14ac:dyDescent="0.55000000000000004">
      <c r="B1447" t="s">
        <v>1935</v>
      </c>
    </row>
    <row r="1448" spans="1:4" x14ac:dyDescent="0.55000000000000004">
      <c r="C1448" t="s">
        <v>1936</v>
      </c>
    </row>
    <row r="1450" spans="1:4" x14ac:dyDescent="0.55000000000000004">
      <c r="B1450" t="s">
        <v>1941</v>
      </c>
    </row>
    <row r="1451" spans="1:4" x14ac:dyDescent="0.55000000000000004">
      <c r="C1451" t="s">
        <v>1942</v>
      </c>
    </row>
    <row r="1452" spans="1:4" x14ac:dyDescent="0.55000000000000004">
      <c r="D1452" t="s">
        <v>1943</v>
      </c>
    </row>
    <row r="1453" spans="1:4" x14ac:dyDescent="0.55000000000000004">
      <c r="C1453" t="s">
        <v>1944</v>
      </c>
    </row>
    <row r="1455" spans="1:4" x14ac:dyDescent="0.55000000000000004">
      <c r="B1455" s="7" t="s">
        <v>433</v>
      </c>
    </row>
    <row r="1457" spans="2:3" x14ac:dyDescent="0.55000000000000004">
      <c r="B1457" s="10" t="s">
        <v>1946</v>
      </c>
    </row>
    <row r="1458" spans="2:3" x14ac:dyDescent="0.55000000000000004">
      <c r="B1458" t="s">
        <v>1947</v>
      </c>
    </row>
    <row r="1459" spans="2:3" x14ac:dyDescent="0.55000000000000004">
      <c r="B1459" t="s">
        <v>1948</v>
      </c>
    </row>
    <row r="1460" spans="2:3" x14ac:dyDescent="0.55000000000000004">
      <c r="B1460" t="s">
        <v>1949</v>
      </c>
    </row>
    <row r="1461" spans="2:3" x14ac:dyDescent="0.55000000000000004">
      <c r="C1461" t="s">
        <v>1950</v>
      </c>
    </row>
    <row r="1462" spans="2:3" x14ac:dyDescent="0.55000000000000004">
      <c r="B1462" s="10" t="s">
        <v>1945</v>
      </c>
    </row>
    <row r="1463" spans="2:3" x14ac:dyDescent="0.55000000000000004">
      <c r="B1463" t="s">
        <v>1951</v>
      </c>
    </row>
    <row r="1465" spans="2:3" x14ac:dyDescent="0.55000000000000004">
      <c r="B1465" s="10" t="s">
        <v>1952</v>
      </c>
    </row>
    <row r="1466" spans="2:3" x14ac:dyDescent="0.55000000000000004">
      <c r="B1466" t="s">
        <v>1955</v>
      </c>
    </row>
    <row r="1467" spans="2:3" x14ac:dyDescent="0.55000000000000004">
      <c r="C1467" t="s">
        <v>1956</v>
      </c>
    </row>
    <row r="1468" spans="2:3" x14ac:dyDescent="0.55000000000000004">
      <c r="C1468" t="s">
        <v>1957</v>
      </c>
    </row>
    <row r="1469" spans="2:3" x14ac:dyDescent="0.55000000000000004">
      <c r="C1469" t="s">
        <v>1958</v>
      </c>
    </row>
    <row r="1471" spans="2:3" x14ac:dyDescent="0.55000000000000004">
      <c r="B1471" s="10" t="s">
        <v>1953</v>
      </c>
    </row>
    <row r="1472" spans="2:3" x14ac:dyDescent="0.55000000000000004">
      <c r="B1472" t="s">
        <v>1954</v>
      </c>
    </row>
    <row r="1474" spans="2:3" x14ac:dyDescent="0.55000000000000004">
      <c r="B1474" s="10" t="s">
        <v>1959</v>
      </c>
    </row>
    <row r="1475" spans="2:3" x14ac:dyDescent="0.55000000000000004">
      <c r="B1475" t="s">
        <v>1960</v>
      </c>
    </row>
    <row r="1476" spans="2:3" x14ac:dyDescent="0.55000000000000004">
      <c r="B1476" t="s">
        <v>1961</v>
      </c>
    </row>
    <row r="1477" spans="2:3" x14ac:dyDescent="0.55000000000000004">
      <c r="B1477" t="s">
        <v>1962</v>
      </c>
    </row>
    <row r="1478" spans="2:3" x14ac:dyDescent="0.55000000000000004">
      <c r="B1478" t="s">
        <v>1963</v>
      </c>
    </row>
    <row r="1479" spans="2:3" x14ac:dyDescent="0.55000000000000004">
      <c r="B1479" t="s">
        <v>1964</v>
      </c>
    </row>
    <row r="1480" spans="2:3" x14ac:dyDescent="0.55000000000000004">
      <c r="C1480" t="s">
        <v>1965</v>
      </c>
    </row>
    <row r="1481" spans="2:3" x14ac:dyDescent="0.55000000000000004">
      <c r="C1481" t="s">
        <v>1966</v>
      </c>
    </row>
    <row r="1483" spans="2:3" x14ac:dyDescent="0.55000000000000004">
      <c r="B1483" s="10" t="s">
        <v>1967</v>
      </c>
    </row>
    <row r="1484" spans="2:3" x14ac:dyDescent="0.55000000000000004">
      <c r="B1484" t="s">
        <v>1968</v>
      </c>
    </row>
    <row r="1486" spans="2:3" x14ac:dyDescent="0.55000000000000004">
      <c r="B1486" s="10" t="s">
        <v>1639</v>
      </c>
    </row>
    <row r="1487" spans="2:3" x14ac:dyDescent="0.55000000000000004">
      <c r="B1487" t="s">
        <v>1975</v>
      </c>
    </row>
    <row r="1489" spans="2:3" x14ac:dyDescent="0.55000000000000004">
      <c r="B1489" t="s">
        <v>471</v>
      </c>
    </row>
    <row r="1490" spans="2:3" x14ac:dyDescent="0.55000000000000004">
      <c r="B1490" t="s">
        <v>1969</v>
      </c>
    </row>
    <row r="1491" spans="2:3" x14ac:dyDescent="0.55000000000000004">
      <c r="B1491" t="s">
        <v>1970</v>
      </c>
    </row>
    <row r="1493" spans="2:3" x14ac:dyDescent="0.55000000000000004">
      <c r="B1493" t="s">
        <v>741</v>
      </c>
      <c r="C1493" t="s">
        <v>1971</v>
      </c>
    </row>
    <row r="1494" spans="2:3" x14ac:dyDescent="0.55000000000000004">
      <c r="C1494" t="s">
        <v>1974</v>
      </c>
    </row>
    <row r="1495" spans="2:3" x14ac:dyDescent="0.55000000000000004">
      <c r="B1495" t="s">
        <v>1972</v>
      </c>
      <c r="C1495" t="s">
        <v>1973</v>
      </c>
    </row>
    <row r="1497" spans="2:3" x14ac:dyDescent="0.55000000000000004">
      <c r="B1497" s="10" t="s">
        <v>1976</v>
      </c>
    </row>
    <row r="1498" spans="2:3" x14ac:dyDescent="0.55000000000000004">
      <c r="B1498" t="s">
        <v>1977</v>
      </c>
    </row>
    <row r="1502" spans="2:3" x14ac:dyDescent="0.55000000000000004">
      <c r="B1502" t="s">
        <v>1978</v>
      </c>
    </row>
    <row r="1503" spans="2:3" x14ac:dyDescent="0.55000000000000004">
      <c r="C1503" t="s">
        <v>1980</v>
      </c>
    </row>
    <row r="1504" spans="2:3" x14ac:dyDescent="0.55000000000000004">
      <c r="C1504" t="s">
        <v>1981</v>
      </c>
    </row>
    <row r="1505" spans="2:3" x14ac:dyDescent="0.55000000000000004">
      <c r="B1505" t="s">
        <v>1979</v>
      </c>
    </row>
    <row r="1506" spans="2:3" x14ac:dyDescent="0.55000000000000004">
      <c r="B1506" t="s">
        <v>471</v>
      </c>
    </row>
    <row r="1508" spans="2:3" x14ac:dyDescent="0.55000000000000004">
      <c r="B1508" s="10" t="s">
        <v>1982</v>
      </c>
    </row>
    <row r="1509" spans="2:3" x14ac:dyDescent="0.55000000000000004">
      <c r="B1509" t="s">
        <v>1983</v>
      </c>
    </row>
    <row r="1510" spans="2:3" x14ac:dyDescent="0.55000000000000004">
      <c r="B1510" t="s">
        <v>1984</v>
      </c>
    </row>
    <row r="1511" spans="2:3" x14ac:dyDescent="0.55000000000000004">
      <c r="B1511" t="s">
        <v>1985</v>
      </c>
    </row>
    <row r="1512" spans="2:3" x14ac:dyDescent="0.55000000000000004">
      <c r="B1512" s="10"/>
    </row>
    <row r="1513" spans="2:3" x14ac:dyDescent="0.55000000000000004">
      <c r="B1513" s="22" t="s">
        <v>2037</v>
      </c>
    </row>
    <row r="1515" spans="2:3" x14ac:dyDescent="0.55000000000000004">
      <c r="B1515" t="s">
        <v>2038</v>
      </c>
    </row>
    <row r="1516" spans="2:3" x14ac:dyDescent="0.55000000000000004">
      <c r="C1516" t="s">
        <v>64</v>
      </c>
    </row>
    <row r="1517" spans="2:3" x14ac:dyDescent="0.55000000000000004">
      <c r="C1517" t="s">
        <v>2053</v>
      </c>
    </row>
    <row r="1518" spans="2:3" x14ac:dyDescent="0.55000000000000004">
      <c r="C1518" t="s">
        <v>2036</v>
      </c>
    </row>
    <row r="1520" spans="2:3" x14ac:dyDescent="0.55000000000000004">
      <c r="B1520" t="s">
        <v>1959</v>
      </c>
    </row>
    <row r="1521" spans="2:3" x14ac:dyDescent="0.55000000000000004">
      <c r="C1521" t="s">
        <v>2033</v>
      </c>
    </row>
    <row r="1522" spans="2:3" x14ac:dyDescent="0.55000000000000004">
      <c r="C1522" t="s">
        <v>2034</v>
      </c>
    </row>
    <row r="1523" spans="2:3" x14ac:dyDescent="0.55000000000000004">
      <c r="C1523" t="s">
        <v>2031</v>
      </c>
    </row>
    <row r="1524" spans="2:3" x14ac:dyDescent="0.55000000000000004">
      <c r="C1524" t="s">
        <v>2032</v>
      </c>
    </row>
    <row r="1525" spans="2:3" x14ac:dyDescent="0.55000000000000004">
      <c r="B1525" t="s">
        <v>69</v>
      </c>
    </row>
    <row r="1526" spans="2:3" x14ac:dyDescent="0.55000000000000004">
      <c r="C1526" t="s">
        <v>2054</v>
      </c>
    </row>
    <row r="1527" spans="2:3" x14ac:dyDescent="0.55000000000000004">
      <c r="C1527" t="s">
        <v>2035</v>
      </c>
    </row>
    <row r="1528" spans="2:3" x14ac:dyDescent="0.55000000000000004">
      <c r="B1528" t="s">
        <v>471</v>
      </c>
    </row>
    <row r="1529" spans="2:3" x14ac:dyDescent="0.55000000000000004">
      <c r="C1529" t="s">
        <v>2055</v>
      </c>
    </row>
    <row r="1530" spans="2:3" x14ac:dyDescent="0.55000000000000004">
      <c r="B1530" t="s">
        <v>1831</v>
      </c>
    </row>
    <row r="1533" spans="2:3" x14ac:dyDescent="0.55000000000000004">
      <c r="B1533" s="22" t="s">
        <v>1345</v>
      </c>
    </row>
    <row r="1535" spans="2:3" x14ac:dyDescent="0.55000000000000004">
      <c r="B1535" t="s">
        <v>2068</v>
      </c>
    </row>
    <row r="1536" spans="2:3" x14ac:dyDescent="0.55000000000000004">
      <c r="C1536" t="s">
        <v>2059</v>
      </c>
    </row>
    <row r="1537" spans="2:4" x14ac:dyDescent="0.55000000000000004">
      <c r="D1537" t="s">
        <v>2065</v>
      </c>
    </row>
    <row r="1538" spans="2:4" x14ac:dyDescent="0.55000000000000004">
      <c r="D1538" t="s">
        <v>2066</v>
      </c>
    </row>
    <row r="1539" spans="2:4" x14ac:dyDescent="0.55000000000000004">
      <c r="D1539" t="s">
        <v>2067</v>
      </c>
    </row>
    <row r="1540" spans="2:4" x14ac:dyDescent="0.55000000000000004">
      <c r="C1540" t="s">
        <v>2060</v>
      </c>
    </row>
    <row r="1541" spans="2:4" x14ac:dyDescent="0.55000000000000004">
      <c r="D1541" t="s">
        <v>2061</v>
      </c>
    </row>
    <row r="1542" spans="2:4" x14ac:dyDescent="0.55000000000000004">
      <c r="D1542" t="s">
        <v>2062</v>
      </c>
    </row>
    <row r="1543" spans="2:4" x14ac:dyDescent="0.55000000000000004">
      <c r="D1543" t="s">
        <v>2063</v>
      </c>
    </row>
    <row r="1544" spans="2:4" x14ac:dyDescent="0.55000000000000004">
      <c r="D1544" t="s">
        <v>2064</v>
      </c>
    </row>
    <row r="1545" spans="2:4" x14ac:dyDescent="0.55000000000000004">
      <c r="B1545" t="s">
        <v>2069</v>
      </c>
    </row>
    <row r="1546" spans="2:4" x14ac:dyDescent="0.55000000000000004">
      <c r="C1546" t="s">
        <v>2070</v>
      </c>
    </row>
    <row r="1547" spans="2:4" x14ac:dyDescent="0.55000000000000004">
      <c r="B1547" t="s">
        <v>2071</v>
      </c>
    </row>
    <row r="1548" spans="2:4" x14ac:dyDescent="0.55000000000000004">
      <c r="C1548" t="s">
        <v>2072</v>
      </c>
    </row>
    <row r="1549" spans="2:4" x14ac:dyDescent="0.55000000000000004">
      <c r="C1549" t="s">
        <v>2073</v>
      </c>
    </row>
    <row r="1550" spans="2:4" x14ac:dyDescent="0.55000000000000004">
      <c r="D1550" t="s">
        <v>2074</v>
      </c>
    </row>
    <row r="1551" spans="2:4" x14ac:dyDescent="0.55000000000000004">
      <c r="D1551" t="s">
        <v>2075</v>
      </c>
    </row>
    <row r="1552" spans="2:4" x14ac:dyDescent="0.55000000000000004">
      <c r="C1552" t="s">
        <v>2076</v>
      </c>
    </row>
    <row r="1553" spans="2:4" x14ac:dyDescent="0.55000000000000004">
      <c r="C1553" t="s">
        <v>2077</v>
      </c>
    </row>
    <row r="1554" spans="2:4" x14ac:dyDescent="0.55000000000000004">
      <c r="C1554" t="s">
        <v>2078</v>
      </c>
    </row>
    <row r="1555" spans="2:4" x14ac:dyDescent="0.55000000000000004">
      <c r="C1555" t="s">
        <v>2079</v>
      </c>
    </row>
    <row r="1556" spans="2:4" x14ac:dyDescent="0.55000000000000004">
      <c r="B1556" t="s">
        <v>2080</v>
      </c>
    </row>
    <row r="1557" spans="2:4" x14ac:dyDescent="0.55000000000000004">
      <c r="C1557" t="s">
        <v>2081</v>
      </c>
    </row>
    <row r="1558" spans="2:4" x14ac:dyDescent="0.55000000000000004">
      <c r="C1558" t="s">
        <v>2082</v>
      </c>
    </row>
    <row r="1559" spans="2:4" x14ac:dyDescent="0.55000000000000004">
      <c r="C1559" t="s">
        <v>2083</v>
      </c>
    </row>
    <row r="1560" spans="2:4" x14ac:dyDescent="0.55000000000000004">
      <c r="D1560" t="s">
        <v>2084</v>
      </c>
    </row>
    <row r="1561" spans="2:4" x14ac:dyDescent="0.55000000000000004">
      <c r="D1561" t="s">
        <v>2085</v>
      </c>
    </row>
    <row r="1562" spans="2:4" x14ac:dyDescent="0.55000000000000004">
      <c r="C1562" t="s">
        <v>2086</v>
      </c>
    </row>
    <row r="1563" spans="2:4" x14ac:dyDescent="0.55000000000000004">
      <c r="D1563" t="s">
        <v>2088</v>
      </c>
    </row>
    <row r="1564" spans="2:4" x14ac:dyDescent="0.55000000000000004">
      <c r="D1564" t="s">
        <v>2087</v>
      </c>
    </row>
    <row r="1565" spans="2:4" x14ac:dyDescent="0.55000000000000004">
      <c r="C1565" t="s">
        <v>2089</v>
      </c>
    </row>
    <row r="1566" spans="2:4" x14ac:dyDescent="0.55000000000000004">
      <c r="C1566" t="s">
        <v>2090</v>
      </c>
    </row>
    <row r="1567" spans="2:4" x14ac:dyDescent="0.55000000000000004">
      <c r="B1567" t="s">
        <v>2091</v>
      </c>
    </row>
    <row r="1568" spans="2:4" x14ac:dyDescent="0.55000000000000004">
      <c r="C1568" t="s">
        <v>2092</v>
      </c>
    </row>
    <row r="1569" spans="2:3" x14ac:dyDescent="0.55000000000000004">
      <c r="C1569" t="s">
        <v>2093</v>
      </c>
    </row>
    <row r="1570" spans="2:3" x14ac:dyDescent="0.55000000000000004">
      <c r="B1570" t="s">
        <v>2096</v>
      </c>
    </row>
    <row r="1571" spans="2:3" x14ac:dyDescent="0.55000000000000004">
      <c r="C1571" t="s">
        <v>2097</v>
      </c>
    </row>
    <row r="1572" spans="2:3" x14ac:dyDescent="0.55000000000000004">
      <c r="C1572" t="s">
        <v>2098</v>
      </c>
    </row>
    <row r="1573" spans="2:3" x14ac:dyDescent="0.55000000000000004">
      <c r="B1573" t="s">
        <v>2094</v>
      </c>
    </row>
    <row r="1574" spans="2:3" x14ac:dyDescent="0.55000000000000004">
      <c r="C1574" t="s">
        <v>2095</v>
      </c>
    </row>
    <row r="1575" spans="2:3" x14ac:dyDescent="0.55000000000000004">
      <c r="B1575" t="s">
        <v>2058</v>
      </c>
    </row>
    <row r="1576" spans="2:3" x14ac:dyDescent="0.55000000000000004">
      <c r="C1576" t="s">
        <v>2099</v>
      </c>
    </row>
    <row r="1577" spans="2:3" x14ac:dyDescent="0.55000000000000004">
      <c r="B1577" t="s">
        <v>69</v>
      </c>
    </row>
    <row r="1578" spans="2:3" x14ac:dyDescent="0.55000000000000004">
      <c r="C1578" t="s">
        <v>2100</v>
      </c>
    </row>
    <row r="1579" spans="2:3" x14ac:dyDescent="0.55000000000000004">
      <c r="C1579" t="s">
        <v>2101</v>
      </c>
    </row>
    <row r="1580" spans="2:3" x14ac:dyDescent="0.55000000000000004">
      <c r="B1580" t="s">
        <v>2102</v>
      </c>
    </row>
    <row r="1581" spans="2:3" x14ac:dyDescent="0.55000000000000004">
      <c r="C1581" t="s">
        <v>2104</v>
      </c>
    </row>
    <row r="1582" spans="2:3" x14ac:dyDescent="0.55000000000000004">
      <c r="C1582" t="s">
        <v>2103</v>
      </c>
    </row>
    <row r="1583" spans="2:3" x14ac:dyDescent="0.55000000000000004">
      <c r="B1583" t="s">
        <v>2105</v>
      </c>
    </row>
    <row r="1584" spans="2:3" x14ac:dyDescent="0.55000000000000004">
      <c r="C1584" t="s">
        <v>2106</v>
      </c>
    </row>
    <row r="1585" spans="2:4" x14ac:dyDescent="0.55000000000000004">
      <c r="C1585" t="s">
        <v>2107</v>
      </c>
    </row>
    <row r="1586" spans="2:4" x14ac:dyDescent="0.55000000000000004">
      <c r="D1586" t="s">
        <v>2108</v>
      </c>
    </row>
    <row r="1587" spans="2:4" x14ac:dyDescent="0.55000000000000004">
      <c r="D1587" t="s">
        <v>2109</v>
      </c>
    </row>
    <row r="1588" spans="2:4" x14ac:dyDescent="0.55000000000000004">
      <c r="C1588" t="s">
        <v>2110</v>
      </c>
    </row>
    <row r="1589" spans="2:4" x14ac:dyDescent="0.55000000000000004">
      <c r="D1589" t="s">
        <v>2111</v>
      </c>
    </row>
    <row r="1590" spans="2:4" x14ac:dyDescent="0.55000000000000004">
      <c r="B1590" t="s">
        <v>1831</v>
      </c>
    </row>
    <row r="1591" spans="2:4" x14ac:dyDescent="0.55000000000000004">
      <c r="C1591" t="s">
        <v>2112</v>
      </c>
    </row>
    <row r="1592" spans="2:4" x14ac:dyDescent="0.55000000000000004">
      <c r="D1592" t="s">
        <v>2113</v>
      </c>
    </row>
    <row r="1593" spans="2:4" x14ac:dyDescent="0.55000000000000004">
      <c r="C1593" t="s">
        <v>2114</v>
      </c>
    </row>
    <row r="1594" spans="2:4" x14ac:dyDescent="0.55000000000000004">
      <c r="D1594" t="s">
        <v>2115</v>
      </c>
    </row>
    <row r="1595" spans="2:4" x14ac:dyDescent="0.55000000000000004">
      <c r="C1595" t="s">
        <v>2116</v>
      </c>
    </row>
    <row r="1596" spans="2:4" x14ac:dyDescent="0.55000000000000004">
      <c r="B1596" t="s">
        <v>1048</v>
      </c>
    </row>
    <row r="1597" spans="2:4" x14ac:dyDescent="0.55000000000000004">
      <c r="C1597" t="s">
        <v>2117</v>
      </c>
    </row>
  </sheetData>
  <sortState xmlns:xlrd2="http://schemas.microsoft.com/office/spreadsheetml/2017/richdata2" ref="B45:B63">
    <sortCondition ref="B45:B63"/>
  </sortState>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F7AB-B045-4AFE-B391-51B93CB1EFB7}">
  <dimension ref="B2:U309"/>
  <sheetViews>
    <sheetView zoomScale="74" workbookViewId="0">
      <pane xSplit="2" ySplit="2" topLeftCell="C98" activePane="bottomRight" state="frozen"/>
      <selection activeCell="V2" sqref="V2"/>
      <selection pane="topRight" activeCell="V2" sqref="V2"/>
      <selection pane="bottomLeft" activeCell="V2" sqref="V2"/>
      <selection pane="bottomRight" activeCell="I98" sqref="I98"/>
    </sheetView>
  </sheetViews>
  <sheetFormatPr defaultRowHeight="14.4" x14ac:dyDescent="0.55000000000000004"/>
  <cols>
    <col min="2" max="2" width="42.1015625" bestFit="1" customWidth="1"/>
    <col min="3" max="3" width="9.1015625" customWidth="1"/>
    <col min="5" max="5" width="9.1015625" customWidth="1"/>
    <col min="6" max="15" width="9.1015625" bestFit="1" customWidth="1"/>
  </cols>
  <sheetData>
    <row r="2" spans="2:15" x14ac:dyDescent="0.55000000000000004">
      <c r="B2" s="1" t="s">
        <v>2</v>
      </c>
      <c r="C2" s="1"/>
      <c r="D2" s="1">
        <v>2019</v>
      </c>
      <c r="E2" s="1">
        <v>2020</v>
      </c>
      <c r="F2" s="1">
        <f>E2+1</f>
        <v>2021</v>
      </c>
      <c r="G2" s="1">
        <f>F2+1</f>
        <v>2022</v>
      </c>
      <c r="H2" s="1">
        <f>G2+1</f>
        <v>2023</v>
      </c>
      <c r="I2" s="1">
        <f t="shared" ref="I2:O2" si="0">H2+1</f>
        <v>2024</v>
      </c>
      <c r="J2" s="1">
        <f t="shared" si="0"/>
        <v>2025</v>
      </c>
      <c r="K2" s="1">
        <f t="shared" si="0"/>
        <v>2026</v>
      </c>
      <c r="L2" s="1">
        <f t="shared" si="0"/>
        <v>2027</v>
      </c>
      <c r="M2" s="1">
        <f t="shared" si="0"/>
        <v>2028</v>
      </c>
      <c r="N2" s="1">
        <f t="shared" si="0"/>
        <v>2029</v>
      </c>
      <c r="O2" s="1">
        <f t="shared" si="0"/>
        <v>2030</v>
      </c>
    </row>
    <row r="3" spans="2:15" x14ac:dyDescent="0.55000000000000004">
      <c r="D3" s="10"/>
      <c r="E3" s="10"/>
      <c r="F3" s="10"/>
      <c r="G3" s="10"/>
      <c r="H3" s="10"/>
      <c r="I3" s="10"/>
      <c r="J3" s="10"/>
      <c r="K3" s="10"/>
      <c r="L3" s="10"/>
      <c r="M3" s="10"/>
      <c r="N3" s="10"/>
      <c r="O3" s="10"/>
    </row>
    <row r="4" spans="2:15" x14ac:dyDescent="0.55000000000000004">
      <c r="B4" t="s">
        <v>50</v>
      </c>
      <c r="D4" s="11"/>
      <c r="E4" s="13">
        <f>E16+E34</f>
        <v>1259</v>
      </c>
      <c r="F4" s="10"/>
      <c r="G4" s="10"/>
      <c r="H4" s="10"/>
      <c r="I4" s="10"/>
      <c r="J4" s="10"/>
      <c r="K4" s="10"/>
      <c r="L4" s="10"/>
      <c r="M4" s="10"/>
      <c r="N4" s="10"/>
      <c r="O4" s="10"/>
    </row>
    <row r="5" spans="2:15" x14ac:dyDescent="0.55000000000000004">
      <c r="B5" t="s">
        <v>59</v>
      </c>
      <c r="D5" s="11"/>
      <c r="E5" s="13"/>
      <c r="F5" s="10"/>
      <c r="G5" s="10"/>
      <c r="H5" s="10"/>
      <c r="I5" s="10"/>
      <c r="J5" s="10"/>
      <c r="K5" s="10"/>
      <c r="L5" s="10"/>
      <c r="M5" s="10"/>
      <c r="N5" s="10"/>
      <c r="O5" s="10"/>
    </row>
    <row r="6" spans="2:15" x14ac:dyDescent="0.55000000000000004">
      <c r="B6" s="6" t="s">
        <v>78</v>
      </c>
      <c r="C6" s="6"/>
      <c r="D6" s="11"/>
      <c r="E6" s="13">
        <f>E7*E4</f>
        <v>251.8</v>
      </c>
      <c r="F6" s="10"/>
      <c r="G6" s="10"/>
      <c r="H6" s="10"/>
      <c r="I6" s="10"/>
      <c r="J6" s="10"/>
      <c r="K6" s="10"/>
      <c r="L6" s="10"/>
      <c r="M6" s="10"/>
      <c r="N6" s="10"/>
      <c r="O6" s="10"/>
    </row>
    <row r="7" spans="2:15" x14ac:dyDescent="0.55000000000000004">
      <c r="B7" s="6" t="s">
        <v>57</v>
      </c>
      <c r="C7" s="6"/>
      <c r="D7" s="11"/>
      <c r="E7" s="15">
        <v>0.2</v>
      </c>
      <c r="F7" s="10"/>
      <c r="G7" s="10"/>
      <c r="H7" s="10"/>
      <c r="I7" s="10"/>
      <c r="J7" s="10"/>
      <c r="K7" s="10"/>
      <c r="L7" s="10"/>
      <c r="M7" s="10"/>
      <c r="N7" s="10"/>
      <c r="O7" s="10"/>
    </row>
    <row r="8" spans="2:15" x14ac:dyDescent="0.55000000000000004">
      <c r="B8" s="6" t="s">
        <v>80</v>
      </c>
      <c r="C8" s="6"/>
      <c r="D8" s="11"/>
      <c r="E8" s="13">
        <f>E4-E6</f>
        <v>1007.2</v>
      </c>
      <c r="F8" s="10"/>
      <c r="G8" s="10"/>
      <c r="H8" s="10"/>
      <c r="I8" s="10"/>
      <c r="J8" s="10"/>
      <c r="K8" s="10"/>
      <c r="L8" s="10"/>
      <c r="M8" s="10"/>
      <c r="N8" s="10"/>
      <c r="O8" s="10"/>
    </row>
    <row r="9" spans="2:15" x14ac:dyDescent="0.55000000000000004">
      <c r="D9" s="10"/>
      <c r="E9" s="10"/>
      <c r="F9" s="10"/>
      <c r="G9" s="10"/>
      <c r="H9" s="10"/>
      <c r="I9" s="10"/>
      <c r="J9" s="10"/>
      <c r="K9" s="10"/>
      <c r="L9" s="10"/>
      <c r="M9" s="10"/>
      <c r="N9" s="10"/>
      <c r="O9" s="10"/>
    </row>
    <row r="10" spans="2:15" x14ac:dyDescent="0.55000000000000004">
      <c r="B10" t="s">
        <v>54</v>
      </c>
      <c r="D10" s="10"/>
      <c r="E10" s="13">
        <f>E16/E13</f>
        <v>7416.666666666667</v>
      </c>
      <c r="F10" s="13">
        <f>(1+F11)*E10</f>
        <v>8158.3333333333339</v>
      </c>
      <c r="G10" s="13">
        <f t="shared" ref="G10:O10" si="1">(1+G11)*F10</f>
        <v>8811.0000000000018</v>
      </c>
      <c r="H10" s="13">
        <f t="shared" si="1"/>
        <v>9515.8800000000028</v>
      </c>
      <c r="I10" s="13">
        <f t="shared" si="1"/>
        <v>10086.832800000004</v>
      </c>
      <c r="J10" s="13">
        <f t="shared" si="1"/>
        <v>10692.042768000005</v>
      </c>
      <c r="K10" s="13">
        <f t="shared" si="1"/>
        <v>11333.565334080005</v>
      </c>
      <c r="L10" s="13">
        <f t="shared" si="1"/>
        <v>12013.579254124807</v>
      </c>
      <c r="M10" s="13">
        <f t="shared" si="1"/>
        <v>12734.394009372296</v>
      </c>
      <c r="N10" s="13">
        <f t="shared" si="1"/>
        <v>13498.457649934635</v>
      </c>
      <c r="O10" s="13">
        <f t="shared" si="1"/>
        <v>14308.365108930713</v>
      </c>
    </row>
    <row r="11" spans="2:15" x14ac:dyDescent="0.55000000000000004">
      <c r="B11" t="s">
        <v>58</v>
      </c>
      <c r="D11" s="10"/>
      <c r="E11" s="13"/>
      <c r="F11" s="19">
        <v>0.1</v>
      </c>
      <c r="G11" s="19">
        <v>0.08</v>
      </c>
      <c r="H11" s="19">
        <v>0.08</v>
      </c>
      <c r="I11" s="19">
        <v>0.06</v>
      </c>
      <c r="J11" s="19">
        <v>0.06</v>
      </c>
      <c r="K11" s="19">
        <v>0.06</v>
      </c>
      <c r="L11" s="19">
        <v>0.06</v>
      </c>
      <c r="M11" s="19">
        <v>0.06</v>
      </c>
      <c r="N11" s="19">
        <v>0.06</v>
      </c>
      <c r="O11" s="19">
        <v>0.06</v>
      </c>
    </row>
    <row r="12" spans="2:15" x14ac:dyDescent="0.55000000000000004">
      <c r="D12" s="10"/>
      <c r="E12" s="10"/>
      <c r="F12" s="10"/>
      <c r="G12" s="10"/>
      <c r="H12" s="10"/>
      <c r="I12" s="10"/>
      <c r="J12" s="10"/>
      <c r="K12" s="10"/>
      <c r="L12" s="10"/>
      <c r="M12" s="10"/>
      <c r="N12" s="10"/>
      <c r="O12" s="10"/>
    </row>
    <row r="13" spans="2:15" x14ac:dyDescent="0.55000000000000004">
      <c r="B13" t="s">
        <v>264</v>
      </c>
      <c r="D13" s="15">
        <v>0.04</v>
      </c>
      <c r="E13" s="15">
        <v>0.06</v>
      </c>
      <c r="F13" s="19">
        <v>7.0000000000000007E-2</v>
      </c>
      <c r="G13" s="19">
        <f>F13+1%</f>
        <v>0.08</v>
      </c>
      <c r="H13" s="19">
        <f t="shared" ref="H13:O13" si="2">G13+1%</f>
        <v>0.09</v>
      </c>
      <c r="I13" s="19">
        <f t="shared" si="2"/>
        <v>9.9999999999999992E-2</v>
      </c>
      <c r="J13" s="19">
        <f t="shared" si="2"/>
        <v>0.10999999999999999</v>
      </c>
      <c r="K13" s="19">
        <f t="shared" si="2"/>
        <v>0.11999999999999998</v>
      </c>
      <c r="L13" s="19">
        <f t="shared" si="2"/>
        <v>0.12999999999999998</v>
      </c>
      <c r="M13" s="19">
        <f t="shared" si="2"/>
        <v>0.13999999999999999</v>
      </c>
      <c r="N13" s="19">
        <f t="shared" si="2"/>
        <v>0.15</v>
      </c>
      <c r="O13" s="19">
        <f t="shared" si="2"/>
        <v>0.16</v>
      </c>
    </row>
    <row r="14" spans="2:15" x14ac:dyDescent="0.55000000000000004">
      <c r="D14" s="10"/>
      <c r="E14" s="10"/>
      <c r="F14" s="10"/>
      <c r="G14" s="10"/>
      <c r="H14" s="10"/>
      <c r="I14" s="10"/>
      <c r="J14" s="10"/>
      <c r="K14" s="10"/>
      <c r="L14" s="10"/>
      <c r="M14" s="10"/>
      <c r="N14" s="10"/>
      <c r="O14" s="10"/>
    </row>
    <row r="15" spans="2:15" x14ac:dyDescent="0.55000000000000004">
      <c r="B15" s="21" t="s">
        <v>205</v>
      </c>
      <c r="C15" s="21"/>
      <c r="D15" s="11"/>
      <c r="E15" s="13"/>
      <c r="F15" s="10"/>
      <c r="G15" s="10"/>
      <c r="H15" s="10"/>
      <c r="I15" s="10"/>
      <c r="J15" s="10"/>
      <c r="K15" s="10"/>
      <c r="L15" s="10"/>
      <c r="M15" s="10"/>
      <c r="N15" s="10"/>
      <c r="O15" s="10"/>
    </row>
    <row r="16" spans="2:15" x14ac:dyDescent="0.55000000000000004">
      <c r="B16" s="6" t="s">
        <v>126</v>
      </c>
      <c r="C16" s="6"/>
      <c r="D16" s="11"/>
      <c r="E16" s="16">
        <v>445</v>
      </c>
      <c r="F16" s="13">
        <f>F13*F10</f>
        <v>571.08333333333348</v>
      </c>
      <c r="G16" s="13">
        <f t="shared" ref="G16:O16" si="3">G13*G10</f>
        <v>704.88000000000011</v>
      </c>
      <c r="H16" s="13">
        <f t="shared" si="3"/>
        <v>856.42920000000026</v>
      </c>
      <c r="I16" s="13">
        <f t="shared" si="3"/>
        <v>1008.6832800000003</v>
      </c>
      <c r="J16" s="13">
        <f t="shared" si="3"/>
        <v>1176.1247044800004</v>
      </c>
      <c r="K16" s="13">
        <f t="shared" si="3"/>
        <v>1360.0278400896004</v>
      </c>
      <c r="L16" s="13">
        <f t="shared" si="3"/>
        <v>1561.7653030362246</v>
      </c>
      <c r="M16" s="13">
        <f t="shared" si="3"/>
        <v>1782.8151613121213</v>
      </c>
      <c r="N16" s="13">
        <f t="shared" si="3"/>
        <v>2024.7686474901952</v>
      </c>
      <c r="O16" s="13">
        <f t="shared" si="3"/>
        <v>2289.338417428914</v>
      </c>
    </row>
    <row r="17" spans="2:15" x14ac:dyDescent="0.55000000000000004">
      <c r="B17" s="6" t="s">
        <v>59</v>
      </c>
      <c r="C17" s="6"/>
      <c r="D17" s="11"/>
      <c r="E17" s="11"/>
      <c r="F17" s="2">
        <f>F16/E16-1</f>
        <v>0.28333333333333366</v>
      </c>
      <c r="G17" s="2">
        <f t="shared" ref="G17:O17" si="4">G16/F16-1</f>
        <v>0.23428571428571421</v>
      </c>
      <c r="H17" s="2">
        <f t="shared" si="4"/>
        <v>0.21500000000000008</v>
      </c>
      <c r="I17" s="2">
        <f t="shared" si="4"/>
        <v>0.17777777777777781</v>
      </c>
      <c r="J17" s="2">
        <f t="shared" si="4"/>
        <v>0.16600000000000015</v>
      </c>
      <c r="K17" s="2">
        <f t="shared" si="4"/>
        <v>0.15636363636363626</v>
      </c>
      <c r="L17" s="2">
        <f t="shared" si="4"/>
        <v>0.14833333333333343</v>
      </c>
      <c r="M17" s="2">
        <f t="shared" si="4"/>
        <v>0.14153846153846161</v>
      </c>
      <c r="N17" s="2">
        <f t="shared" si="4"/>
        <v>0.1357142857142859</v>
      </c>
      <c r="O17" s="2">
        <f t="shared" si="4"/>
        <v>0.13066666666666671</v>
      </c>
    </row>
    <row r="18" spans="2:15" x14ac:dyDescent="0.55000000000000004">
      <c r="B18" s="6"/>
      <c r="C18" s="6"/>
      <c r="D18" s="11"/>
      <c r="E18" s="11"/>
      <c r="F18" s="13"/>
      <c r="G18" s="13"/>
      <c r="H18" s="13"/>
      <c r="I18" s="13"/>
      <c r="J18" s="13"/>
      <c r="K18" s="13"/>
      <c r="L18" s="13"/>
      <c r="M18" s="13"/>
      <c r="N18" s="13"/>
      <c r="O18" s="13"/>
    </row>
    <row r="19" spans="2:15" x14ac:dyDescent="0.55000000000000004">
      <c r="B19" s="6" t="s">
        <v>81</v>
      </c>
      <c r="C19" s="6"/>
      <c r="D19" s="11"/>
      <c r="E19" s="13">
        <f>Analysis!C26</f>
        <v>212.00000000000003</v>
      </c>
      <c r="F19" s="13">
        <f>F20*F16</f>
        <v>272.06666666666678</v>
      </c>
      <c r="G19" s="13">
        <f t="shared" ref="G19:O19" si="5">G20*G16</f>
        <v>335.80800000000011</v>
      </c>
      <c r="H19" s="13">
        <f t="shared" si="5"/>
        <v>408.0067200000002</v>
      </c>
      <c r="I19" s="13">
        <f t="shared" si="5"/>
        <v>480.54124800000022</v>
      </c>
      <c r="J19" s="13">
        <f t="shared" si="5"/>
        <v>560.31109516800029</v>
      </c>
      <c r="K19" s="13">
        <f t="shared" si="5"/>
        <v>647.92337550336026</v>
      </c>
      <c r="L19" s="13">
        <f t="shared" si="5"/>
        <v>744.03200953635883</v>
      </c>
      <c r="M19" s="13">
        <f t="shared" si="5"/>
        <v>849.34115550150511</v>
      </c>
      <c r="N19" s="13">
        <f t="shared" si="5"/>
        <v>964.60888374813806</v>
      </c>
      <c r="O19" s="13">
        <f t="shared" si="5"/>
        <v>1090.6511112245614</v>
      </c>
    </row>
    <row r="20" spans="2:15" x14ac:dyDescent="0.55000000000000004">
      <c r="B20" s="6" t="s">
        <v>57</v>
      </c>
      <c r="C20" s="6"/>
      <c r="D20" s="11"/>
      <c r="E20" s="2">
        <f>E19/E16</f>
        <v>0.47640449438202254</v>
      </c>
      <c r="F20" s="19">
        <f>E20</f>
        <v>0.47640449438202254</v>
      </c>
      <c r="G20" s="19">
        <f t="shared" ref="G20:O20" si="6">F20</f>
        <v>0.47640449438202254</v>
      </c>
      <c r="H20" s="19">
        <f t="shared" si="6"/>
        <v>0.47640449438202254</v>
      </c>
      <c r="I20" s="19">
        <f t="shared" si="6"/>
        <v>0.47640449438202254</v>
      </c>
      <c r="J20" s="19">
        <f t="shared" si="6"/>
        <v>0.47640449438202254</v>
      </c>
      <c r="K20" s="19">
        <f t="shared" si="6"/>
        <v>0.47640449438202254</v>
      </c>
      <c r="L20" s="19">
        <f t="shared" si="6"/>
        <v>0.47640449438202254</v>
      </c>
      <c r="M20" s="19">
        <f t="shared" si="6"/>
        <v>0.47640449438202254</v>
      </c>
      <c r="N20" s="19">
        <f t="shared" si="6"/>
        <v>0.47640449438202254</v>
      </c>
      <c r="O20" s="19">
        <f t="shared" si="6"/>
        <v>0.47640449438202254</v>
      </c>
    </row>
    <row r="21" spans="2:15" x14ac:dyDescent="0.55000000000000004">
      <c r="B21" s="6" t="s">
        <v>83</v>
      </c>
      <c r="C21" s="6"/>
      <c r="D21" s="11"/>
      <c r="E21" s="13">
        <f>E16-E19</f>
        <v>232.99999999999997</v>
      </c>
      <c r="F21" s="13">
        <f t="shared" ref="F21:O21" si="7">F16-F19</f>
        <v>299.01666666666671</v>
      </c>
      <c r="G21" s="13">
        <f t="shared" si="7"/>
        <v>369.072</v>
      </c>
      <c r="H21" s="13">
        <f t="shared" si="7"/>
        <v>448.42248000000006</v>
      </c>
      <c r="I21" s="13">
        <f t="shared" si="7"/>
        <v>528.14203200000009</v>
      </c>
      <c r="J21" s="13">
        <f t="shared" si="7"/>
        <v>615.81360931200015</v>
      </c>
      <c r="K21" s="13">
        <f t="shared" si="7"/>
        <v>712.10446458624017</v>
      </c>
      <c r="L21" s="13">
        <f t="shared" si="7"/>
        <v>817.73329349986579</v>
      </c>
      <c r="M21" s="13">
        <f t="shared" si="7"/>
        <v>933.47400581061618</v>
      </c>
      <c r="N21" s="13">
        <f t="shared" si="7"/>
        <v>1060.1597637420573</v>
      </c>
      <c r="O21" s="13">
        <f t="shared" si="7"/>
        <v>1198.6873062043526</v>
      </c>
    </row>
    <row r="22" spans="2:15" x14ac:dyDescent="0.55000000000000004">
      <c r="B22" s="6"/>
      <c r="C22" s="6"/>
      <c r="D22" s="11"/>
      <c r="E22" s="10"/>
      <c r="F22" s="10"/>
      <c r="G22" s="10"/>
      <c r="H22" s="10"/>
      <c r="I22" s="10"/>
      <c r="J22" s="10"/>
      <c r="K22" s="10"/>
      <c r="L22" s="10"/>
      <c r="M22" s="10"/>
      <c r="N22" s="10"/>
      <c r="O22" s="10"/>
    </row>
    <row r="23" spans="2:15" x14ac:dyDescent="0.55000000000000004">
      <c r="B23" s="6" t="s">
        <v>82</v>
      </c>
      <c r="C23" s="6"/>
      <c r="D23" s="11"/>
      <c r="E23" s="16">
        <v>63</v>
      </c>
      <c r="F23" s="13">
        <f>F24*F16</f>
        <v>83.705416666666693</v>
      </c>
      <c r="G23" s="13">
        <f t="shared" ref="G23:O23" si="8">G24*G16</f>
        <v>106.84080000000003</v>
      </c>
      <c r="H23" s="13">
        <f t="shared" si="8"/>
        <v>134.09371800000005</v>
      </c>
      <c r="I23" s="13">
        <f t="shared" si="8"/>
        <v>162.97601760000006</v>
      </c>
      <c r="J23" s="13">
        <f t="shared" si="8"/>
        <v>195.91066004400011</v>
      </c>
      <c r="K23" s="13">
        <f t="shared" si="8"/>
        <v>233.34410245132813</v>
      </c>
      <c r="L23" s="13">
        <f t="shared" si="8"/>
        <v>275.76563749678962</v>
      </c>
      <c r="M23" s="13">
        <f t="shared" si="8"/>
        <v>323.71115737981893</v>
      </c>
      <c r="N23" s="13">
        <f t="shared" si="8"/>
        <v>377.76722911881683</v>
      </c>
      <c r="O23" s="13">
        <f t="shared" si="8"/>
        <v>438.57550581082018</v>
      </c>
    </row>
    <row r="24" spans="2:15" x14ac:dyDescent="0.55000000000000004">
      <c r="B24" s="6" t="s">
        <v>218</v>
      </c>
      <c r="C24" s="6"/>
      <c r="D24" s="11"/>
      <c r="E24" s="2">
        <f>E23/E16</f>
        <v>0.14157303370786517</v>
      </c>
      <c r="F24" s="19">
        <f>E24+0.5%</f>
        <v>0.14657303370786517</v>
      </c>
      <c r="G24" s="19">
        <f t="shared" ref="G24:O26" si="9">F24+0.5%</f>
        <v>0.15157303370786518</v>
      </c>
      <c r="H24" s="19">
        <f t="shared" si="9"/>
        <v>0.15657303370786518</v>
      </c>
      <c r="I24" s="19">
        <f t="shared" si="9"/>
        <v>0.16157303370786519</v>
      </c>
      <c r="J24" s="19">
        <f t="shared" si="9"/>
        <v>0.16657303370786519</v>
      </c>
      <c r="K24" s="19">
        <f t="shared" si="9"/>
        <v>0.1715730337078652</v>
      </c>
      <c r="L24" s="19">
        <f t="shared" si="9"/>
        <v>0.1765730337078652</v>
      </c>
      <c r="M24" s="19">
        <f t="shared" si="9"/>
        <v>0.18157303370786521</v>
      </c>
      <c r="N24" s="19">
        <f t="shared" si="9"/>
        <v>0.18657303370786521</v>
      </c>
      <c r="O24" s="19">
        <f t="shared" si="9"/>
        <v>0.19157303370786521</v>
      </c>
    </row>
    <row r="25" spans="2:15" x14ac:dyDescent="0.55000000000000004">
      <c r="B25" s="6" t="s">
        <v>84</v>
      </c>
      <c r="C25" s="6"/>
      <c r="D25" s="11"/>
      <c r="E25" s="13">
        <f>Analysis!D26</f>
        <v>28.6</v>
      </c>
      <c r="F25" s="13">
        <f>F26*F19</f>
        <v>38.063666666666684</v>
      </c>
      <c r="G25" s="13">
        <f t="shared" ref="G25:O25" si="10">G26*G19</f>
        <v>48.660480000000021</v>
      </c>
      <c r="H25" s="13">
        <f t="shared" si="10"/>
        <v>61.162516800000034</v>
      </c>
      <c r="I25" s="13">
        <f t="shared" si="10"/>
        <v>74.438559360000042</v>
      </c>
      <c r="J25" s="13">
        <f t="shared" si="10"/>
        <v>89.596915689600053</v>
      </c>
      <c r="K25" s="13">
        <f t="shared" si="10"/>
        <v>106.84623211130886</v>
      </c>
      <c r="L25" s="13">
        <f t="shared" si="10"/>
        <v>126.41524992216816</v>
      </c>
      <c r="M25" s="13">
        <f t="shared" si="10"/>
        <v>148.5545756886595</v>
      </c>
      <c r="N25" s="13">
        <f t="shared" si="10"/>
        <v>173.53859823657544</v>
      </c>
      <c r="O25" s="13">
        <f t="shared" si="10"/>
        <v>201.66756396227743</v>
      </c>
    </row>
    <row r="26" spans="2:15" x14ac:dyDescent="0.55000000000000004">
      <c r="B26" s="6" t="s">
        <v>218</v>
      </c>
      <c r="C26" s="6"/>
      <c r="D26" s="11"/>
      <c r="E26" s="2">
        <f>E25/E19</f>
        <v>0.13490566037735849</v>
      </c>
      <c r="F26" s="19">
        <f>E26+0.5%</f>
        <v>0.13990566037735849</v>
      </c>
      <c r="G26" s="19">
        <f t="shared" si="9"/>
        <v>0.1449056603773585</v>
      </c>
      <c r="H26" s="19">
        <f t="shared" si="9"/>
        <v>0.1499056603773585</v>
      </c>
      <c r="I26" s="19">
        <f t="shared" si="9"/>
        <v>0.15490566037735851</v>
      </c>
      <c r="J26" s="19">
        <f t="shared" si="9"/>
        <v>0.15990566037735851</v>
      </c>
      <c r="K26" s="19">
        <f t="shared" si="9"/>
        <v>0.16490566037735852</v>
      </c>
      <c r="L26" s="19">
        <f t="shared" si="9"/>
        <v>0.16990566037735852</v>
      </c>
      <c r="M26" s="19">
        <f t="shared" si="9"/>
        <v>0.17490566037735852</v>
      </c>
      <c r="N26" s="19">
        <f t="shared" si="9"/>
        <v>0.17990566037735853</v>
      </c>
      <c r="O26" s="19">
        <f t="shared" si="9"/>
        <v>0.18490566037735853</v>
      </c>
    </row>
    <row r="27" spans="2:15" x14ac:dyDescent="0.55000000000000004">
      <c r="B27" s="6" t="s">
        <v>85</v>
      </c>
      <c r="C27" s="6"/>
      <c r="D27" s="11"/>
      <c r="E27" s="13">
        <f>E23-E25</f>
        <v>34.4</v>
      </c>
      <c r="F27" s="13">
        <f t="shared" ref="F27:O27" si="11">F23-F25</f>
        <v>45.641750000000009</v>
      </c>
      <c r="G27" s="13">
        <f t="shared" si="11"/>
        <v>58.180320000000009</v>
      </c>
      <c r="H27" s="13">
        <f t="shared" si="11"/>
        <v>72.931201200000018</v>
      </c>
      <c r="I27" s="13">
        <f t="shared" si="11"/>
        <v>88.537458240000021</v>
      </c>
      <c r="J27" s="13">
        <f t="shared" si="11"/>
        <v>106.31374435440006</v>
      </c>
      <c r="K27" s="13">
        <f t="shared" si="11"/>
        <v>126.49787034001926</v>
      </c>
      <c r="L27" s="13">
        <f t="shared" si="11"/>
        <v>149.35038757462146</v>
      </c>
      <c r="M27" s="13">
        <f t="shared" si="11"/>
        <v>175.15658169115943</v>
      </c>
      <c r="N27" s="13">
        <f t="shared" si="11"/>
        <v>204.22863088224139</v>
      </c>
      <c r="O27" s="13">
        <f t="shared" si="11"/>
        <v>236.90794184854275</v>
      </c>
    </row>
    <row r="28" spans="2:15" x14ac:dyDescent="0.55000000000000004">
      <c r="B28" s="6"/>
      <c r="C28" s="6"/>
      <c r="D28" s="11"/>
      <c r="E28" s="2"/>
      <c r="F28" s="10"/>
      <c r="G28" s="10"/>
      <c r="H28" s="10"/>
      <c r="I28" s="10"/>
      <c r="J28" s="10"/>
      <c r="K28" s="10"/>
      <c r="L28" s="10"/>
      <c r="M28" s="10"/>
      <c r="N28" s="10"/>
      <c r="O28" s="10"/>
    </row>
    <row r="29" spans="2:15" x14ac:dyDescent="0.55000000000000004">
      <c r="B29" s="6" t="s">
        <v>86</v>
      </c>
      <c r="C29" s="6"/>
      <c r="D29" s="11"/>
      <c r="E29" s="13">
        <f>E16-E23</f>
        <v>382</v>
      </c>
      <c r="F29" s="13">
        <f t="shared" ref="F29:O29" si="12">F16-F23</f>
        <v>487.37791666666681</v>
      </c>
      <c r="G29" s="13">
        <f t="shared" si="12"/>
        <v>598.03920000000005</v>
      </c>
      <c r="H29" s="13">
        <f t="shared" si="12"/>
        <v>722.33548200000018</v>
      </c>
      <c r="I29" s="13">
        <f t="shared" si="12"/>
        <v>845.70726240000022</v>
      </c>
      <c r="J29" s="13">
        <f t="shared" si="12"/>
        <v>980.21404443600034</v>
      </c>
      <c r="K29" s="13">
        <f t="shared" si="12"/>
        <v>1126.6837376382723</v>
      </c>
      <c r="L29" s="13">
        <f t="shared" si="12"/>
        <v>1285.999665539435</v>
      </c>
      <c r="M29" s="13">
        <f t="shared" si="12"/>
        <v>1459.1040039323025</v>
      </c>
      <c r="N29" s="13">
        <f t="shared" si="12"/>
        <v>1647.0014183713783</v>
      </c>
      <c r="O29" s="13">
        <f t="shared" si="12"/>
        <v>1850.7629116180938</v>
      </c>
    </row>
    <row r="30" spans="2:15" x14ac:dyDescent="0.55000000000000004">
      <c r="B30" s="6" t="s">
        <v>87</v>
      </c>
      <c r="C30" s="6"/>
      <c r="D30" s="11"/>
      <c r="E30" s="13">
        <f>E19-E25</f>
        <v>183.40000000000003</v>
      </c>
      <c r="F30" s="13">
        <f t="shared" ref="F30:O30" si="13">F19-F25</f>
        <v>234.0030000000001</v>
      </c>
      <c r="G30" s="13">
        <f t="shared" si="13"/>
        <v>287.1475200000001</v>
      </c>
      <c r="H30" s="13">
        <f t="shared" si="13"/>
        <v>346.84420320000015</v>
      </c>
      <c r="I30" s="13">
        <f t="shared" si="13"/>
        <v>406.10268864000017</v>
      </c>
      <c r="J30" s="13">
        <f t="shared" si="13"/>
        <v>470.71417947840024</v>
      </c>
      <c r="K30" s="13">
        <f t="shared" si="13"/>
        <v>541.07714339205143</v>
      </c>
      <c r="L30" s="13">
        <f t="shared" si="13"/>
        <v>617.61675961419064</v>
      </c>
      <c r="M30" s="13">
        <f t="shared" si="13"/>
        <v>700.78657981284562</v>
      </c>
      <c r="N30" s="13">
        <f t="shared" si="13"/>
        <v>791.07028551156259</v>
      </c>
      <c r="O30" s="13">
        <f t="shared" si="13"/>
        <v>888.98354726228399</v>
      </c>
    </row>
    <row r="31" spans="2:15" x14ac:dyDescent="0.55000000000000004">
      <c r="B31" s="6" t="s">
        <v>88</v>
      </c>
      <c r="C31" s="6"/>
      <c r="D31" s="11"/>
      <c r="E31" s="13">
        <f>E21-E27</f>
        <v>198.59999999999997</v>
      </c>
      <c r="F31" s="13">
        <f t="shared" ref="F31:O31" si="14">F21-F27</f>
        <v>253.37491666666671</v>
      </c>
      <c r="G31" s="13">
        <f t="shared" si="14"/>
        <v>310.89168000000001</v>
      </c>
      <c r="H31" s="13">
        <f t="shared" si="14"/>
        <v>375.49127880000003</v>
      </c>
      <c r="I31" s="13">
        <f t="shared" si="14"/>
        <v>439.60457376000005</v>
      </c>
      <c r="J31" s="13">
        <f t="shared" si="14"/>
        <v>509.4998649576001</v>
      </c>
      <c r="K31" s="13">
        <f t="shared" si="14"/>
        <v>585.60659424622088</v>
      </c>
      <c r="L31" s="13">
        <f t="shared" si="14"/>
        <v>668.38290592524436</v>
      </c>
      <c r="M31" s="13">
        <f t="shared" si="14"/>
        <v>758.31742411945675</v>
      </c>
      <c r="N31" s="13">
        <f t="shared" si="14"/>
        <v>855.93113285981588</v>
      </c>
      <c r="O31" s="13">
        <f t="shared" si="14"/>
        <v>961.77936435580978</v>
      </c>
    </row>
    <row r="32" spans="2:15" x14ac:dyDescent="0.55000000000000004">
      <c r="B32" s="6"/>
      <c r="C32" s="6"/>
      <c r="D32" s="11"/>
      <c r="E32" s="13"/>
      <c r="F32" s="10"/>
      <c r="G32" s="10"/>
      <c r="H32" s="10"/>
      <c r="I32" s="10"/>
      <c r="J32" s="10"/>
      <c r="K32" s="10"/>
      <c r="L32" s="10"/>
      <c r="M32" s="10"/>
      <c r="N32" s="10"/>
      <c r="O32" s="10"/>
    </row>
    <row r="33" spans="2:16" x14ac:dyDescent="0.55000000000000004">
      <c r="B33" s="21" t="s">
        <v>206</v>
      </c>
      <c r="C33" s="21"/>
      <c r="D33" s="11"/>
      <c r="E33" s="13"/>
      <c r="F33" s="10"/>
      <c r="G33" s="10"/>
      <c r="H33" s="10"/>
      <c r="I33" s="10"/>
      <c r="J33" s="10"/>
      <c r="K33" s="10"/>
      <c r="L33" s="10"/>
      <c r="M33" s="10"/>
      <c r="N33" s="10"/>
      <c r="O33" s="10"/>
    </row>
    <row r="34" spans="2:16" x14ac:dyDescent="0.55000000000000004">
      <c r="B34" s="6" t="s">
        <v>89</v>
      </c>
      <c r="C34" s="6"/>
      <c r="D34" s="11"/>
      <c r="E34" s="16">
        <v>814</v>
      </c>
      <c r="F34" s="13">
        <f>E34/E38*F38</f>
        <v>1058.2</v>
      </c>
      <c r="G34" s="13">
        <f t="shared" ref="G34:O34" si="15">F34/F38*G38</f>
        <v>1428.5700000000002</v>
      </c>
      <c r="H34" s="13">
        <f t="shared" si="15"/>
        <v>1928.5695000000001</v>
      </c>
      <c r="I34" s="13">
        <f t="shared" si="15"/>
        <v>2603.5688250000003</v>
      </c>
      <c r="J34" s="13">
        <f t="shared" si="15"/>
        <v>3384.6394725000009</v>
      </c>
      <c r="K34" s="13">
        <f t="shared" si="15"/>
        <v>4230.7993406250007</v>
      </c>
      <c r="L34" s="13">
        <f t="shared" si="15"/>
        <v>5288.4991757812504</v>
      </c>
      <c r="M34" s="13">
        <f t="shared" si="15"/>
        <v>6610.6239697265628</v>
      </c>
      <c r="N34" s="13">
        <f t="shared" si="15"/>
        <v>8263.2799621582035</v>
      </c>
      <c r="O34" s="13">
        <f t="shared" si="15"/>
        <v>10329.099952697756</v>
      </c>
    </row>
    <row r="35" spans="2:16" x14ac:dyDescent="0.55000000000000004">
      <c r="B35" s="6" t="s">
        <v>121</v>
      </c>
      <c r="C35" s="6"/>
      <c r="D35" s="11"/>
      <c r="E35" s="16">
        <v>626</v>
      </c>
      <c r="F35" s="13">
        <f>E35/E34*F34</f>
        <v>813.8</v>
      </c>
      <c r="G35" s="13">
        <f t="shared" ref="G35:O35" si="16">F35/F34*G34</f>
        <v>1098.6300000000001</v>
      </c>
      <c r="H35" s="13">
        <f t="shared" si="16"/>
        <v>1483.1505</v>
      </c>
      <c r="I35" s="13">
        <f t="shared" si="16"/>
        <v>2002.2531750000001</v>
      </c>
      <c r="J35" s="13">
        <f t="shared" si="16"/>
        <v>2602.9291275000005</v>
      </c>
      <c r="K35" s="13">
        <f t="shared" si="16"/>
        <v>3253.6614093750004</v>
      </c>
      <c r="L35" s="13">
        <f t="shared" si="16"/>
        <v>4067.0767617187503</v>
      </c>
      <c r="M35" s="13">
        <f t="shared" si="16"/>
        <v>5083.8459521484374</v>
      </c>
      <c r="N35" s="13">
        <f t="shared" si="16"/>
        <v>6354.8074401855465</v>
      </c>
      <c r="O35" s="13">
        <f t="shared" si="16"/>
        <v>7943.5093002319345</v>
      </c>
    </row>
    <row r="36" spans="2:16" x14ac:dyDescent="0.55000000000000004">
      <c r="B36" s="6" t="s">
        <v>57</v>
      </c>
      <c r="C36" s="6"/>
      <c r="D36" s="11"/>
      <c r="E36" s="2">
        <f>E35/E34</f>
        <v>0.76904176904176902</v>
      </c>
      <c r="F36" s="2">
        <f>F35/F34</f>
        <v>0.76904176904176902</v>
      </c>
      <c r="G36" s="2">
        <f t="shared" ref="G36:O36" si="17">G35/G34</f>
        <v>0.76904176904176902</v>
      </c>
      <c r="H36" s="2">
        <f t="shared" si="17"/>
        <v>0.76904176904176902</v>
      </c>
      <c r="I36" s="2">
        <f t="shared" si="17"/>
        <v>0.76904176904176902</v>
      </c>
      <c r="J36" s="2">
        <f t="shared" si="17"/>
        <v>0.76904176904176902</v>
      </c>
      <c r="K36" s="2">
        <f t="shared" si="17"/>
        <v>0.76904176904176902</v>
      </c>
      <c r="L36" s="2">
        <f t="shared" si="17"/>
        <v>0.76904176904176902</v>
      </c>
      <c r="M36" s="2">
        <f t="shared" si="17"/>
        <v>0.76904176904176902</v>
      </c>
      <c r="N36" s="2">
        <f t="shared" si="17"/>
        <v>0.76904176904176902</v>
      </c>
      <c r="O36" s="2">
        <f t="shared" si="17"/>
        <v>0.76904176904176902</v>
      </c>
    </row>
    <row r="37" spans="2:16" x14ac:dyDescent="0.55000000000000004">
      <c r="B37" s="6" t="s">
        <v>90</v>
      </c>
      <c r="C37" s="6"/>
      <c r="D37" s="11"/>
      <c r="E37" s="16">
        <v>181</v>
      </c>
      <c r="F37" s="13">
        <f>E37/E35*F35</f>
        <v>235.29999999999998</v>
      </c>
      <c r="G37" s="13">
        <f t="shared" ref="G37:O37" si="18">F37/F35*G35</f>
        <v>317.65500000000003</v>
      </c>
      <c r="H37" s="13">
        <f t="shared" si="18"/>
        <v>428.83424999999994</v>
      </c>
      <c r="I37" s="13">
        <f t="shared" si="18"/>
        <v>578.92623749999996</v>
      </c>
      <c r="J37" s="13">
        <f t="shared" si="18"/>
        <v>752.60410875000014</v>
      </c>
      <c r="K37" s="13">
        <f t="shared" si="18"/>
        <v>940.75513593750009</v>
      </c>
      <c r="L37" s="13">
        <f t="shared" si="18"/>
        <v>1175.943919921875</v>
      </c>
      <c r="M37" s="13">
        <f t="shared" si="18"/>
        <v>1469.9298999023435</v>
      </c>
      <c r="N37" s="13">
        <f t="shared" si="18"/>
        <v>1837.4123748779296</v>
      </c>
      <c r="O37" s="13">
        <f t="shared" si="18"/>
        <v>2296.7654685974121</v>
      </c>
    </row>
    <row r="38" spans="2:16" x14ac:dyDescent="0.55000000000000004">
      <c r="B38" s="6" t="s">
        <v>91</v>
      </c>
      <c r="C38" s="6"/>
      <c r="D38" s="11"/>
      <c r="E38" s="12">
        <f>E34-E35-E37</f>
        <v>7</v>
      </c>
      <c r="F38" s="12">
        <f>(1+F39)*E38</f>
        <v>9.1</v>
      </c>
      <c r="G38" s="12">
        <f t="shared" ref="G38:O38" si="19">(1+G39)*F38</f>
        <v>12.285</v>
      </c>
      <c r="H38" s="12">
        <f t="shared" si="19"/>
        <v>16.58475</v>
      </c>
      <c r="I38" s="12">
        <f t="shared" si="19"/>
        <v>22.389412500000002</v>
      </c>
      <c r="J38" s="12">
        <f t="shared" si="19"/>
        <v>29.106236250000006</v>
      </c>
      <c r="K38" s="12">
        <f t="shared" si="19"/>
        <v>36.382795312500008</v>
      </c>
      <c r="L38" s="12">
        <f t="shared" si="19"/>
        <v>45.47849414062501</v>
      </c>
      <c r="M38" s="12">
        <f t="shared" si="19"/>
        <v>56.848117675781261</v>
      </c>
      <c r="N38" s="12">
        <f t="shared" si="19"/>
        <v>71.060147094726574</v>
      </c>
      <c r="O38" s="12">
        <f t="shared" si="19"/>
        <v>88.825183868408217</v>
      </c>
      <c r="P38" s="2">
        <f>(O38/E38)^(1/10)-1</f>
        <v>0.2892697931521202</v>
      </c>
    </row>
    <row r="39" spans="2:16" x14ac:dyDescent="0.55000000000000004">
      <c r="B39" s="6" t="s">
        <v>59</v>
      </c>
      <c r="C39" s="6"/>
      <c r="D39" s="11"/>
      <c r="E39" s="12"/>
      <c r="F39" s="19">
        <v>0.3</v>
      </c>
      <c r="G39" s="19">
        <v>0.35</v>
      </c>
      <c r="H39" s="19">
        <v>0.35</v>
      </c>
      <c r="I39" s="19">
        <v>0.35</v>
      </c>
      <c r="J39" s="19">
        <v>0.3</v>
      </c>
      <c r="K39" s="19">
        <v>0.25</v>
      </c>
      <c r="L39" s="19">
        <v>0.25</v>
      </c>
      <c r="M39" s="19">
        <v>0.25</v>
      </c>
      <c r="N39" s="19">
        <v>0.25</v>
      </c>
      <c r="O39" s="19">
        <v>0.25</v>
      </c>
    </row>
    <row r="40" spans="2:16" x14ac:dyDescent="0.55000000000000004">
      <c r="B40" s="6" t="s">
        <v>214</v>
      </c>
      <c r="C40" s="6"/>
      <c r="D40" s="11"/>
      <c r="E40" s="12">
        <f t="shared" ref="E40:O40" si="20">E38*E52</f>
        <v>6.3</v>
      </c>
      <c r="F40" s="12">
        <f t="shared" si="20"/>
        <v>8.0990000000000002</v>
      </c>
      <c r="G40" s="12">
        <f t="shared" si="20"/>
        <v>10.8108</v>
      </c>
      <c r="H40" s="12">
        <f t="shared" si="20"/>
        <v>14.428732499999999</v>
      </c>
      <c r="I40" s="12">
        <f t="shared" si="20"/>
        <v>19.254894750000002</v>
      </c>
      <c r="J40" s="12">
        <f t="shared" si="20"/>
        <v>24.740300812500003</v>
      </c>
      <c r="K40" s="12">
        <f t="shared" si="20"/>
        <v>30.561548062500005</v>
      </c>
      <c r="L40" s="12">
        <f t="shared" si="20"/>
        <v>37.747150136718759</v>
      </c>
      <c r="M40" s="12">
        <f t="shared" si="20"/>
        <v>46.615456494140631</v>
      </c>
      <c r="N40" s="12">
        <f t="shared" si="20"/>
        <v>57.558719146728521</v>
      </c>
      <c r="O40" s="12">
        <f t="shared" si="20"/>
        <v>71.060147094726574</v>
      </c>
    </row>
    <row r="41" spans="2:16" x14ac:dyDescent="0.55000000000000004">
      <c r="D41" s="11"/>
      <c r="E41" s="11"/>
      <c r="F41" s="10"/>
      <c r="G41" s="10"/>
      <c r="H41" s="10"/>
      <c r="I41" s="10"/>
      <c r="J41" s="10"/>
      <c r="K41" s="10"/>
      <c r="L41" s="10"/>
      <c r="M41" s="10"/>
      <c r="N41" s="10"/>
      <c r="O41" s="10"/>
    </row>
    <row r="42" spans="2:16" x14ac:dyDescent="0.55000000000000004">
      <c r="B42" s="22" t="s">
        <v>92</v>
      </c>
      <c r="C42" s="22"/>
      <c r="D42" s="11"/>
      <c r="E42" s="11"/>
      <c r="F42" s="10"/>
      <c r="G42" s="10"/>
      <c r="H42" s="10"/>
      <c r="I42" s="10"/>
      <c r="J42" s="10"/>
      <c r="K42" s="10"/>
      <c r="L42" s="10"/>
      <c r="M42" s="10"/>
      <c r="N42" s="10"/>
      <c r="O42" s="10"/>
    </row>
    <row r="43" spans="2:16" x14ac:dyDescent="0.55000000000000004">
      <c r="B43" s="10" t="s">
        <v>49</v>
      </c>
      <c r="C43" s="48">
        <v>0.55400000000000005</v>
      </c>
      <c r="D43" s="48">
        <v>1.2869999999999999</v>
      </c>
      <c r="E43" s="48">
        <v>2.0640000000000001</v>
      </c>
      <c r="F43" s="48">
        <v>6.0490000000000004</v>
      </c>
      <c r="G43" s="48">
        <v>10.567</v>
      </c>
      <c r="H43" s="48">
        <v>17.677</v>
      </c>
      <c r="I43" s="49">
        <f t="shared" ref="I43:O43" si="21">I48/I45</f>
        <v>25.876946768718458</v>
      </c>
      <c r="J43" s="49">
        <f t="shared" si="21"/>
        <v>35.822434701840464</v>
      </c>
      <c r="K43" s="49">
        <f t="shared" si="21"/>
        <v>46.513970674718657</v>
      </c>
      <c r="L43" s="49">
        <f t="shared" si="21"/>
        <v>59.341870867405746</v>
      </c>
      <c r="M43" s="49">
        <f t="shared" si="21"/>
        <v>71.415566005184544</v>
      </c>
      <c r="N43" s="49">
        <f t="shared" si="21"/>
        <v>84.611317718695403</v>
      </c>
      <c r="O43" s="49">
        <f t="shared" si="21"/>
        <v>99.686169259855035</v>
      </c>
    </row>
    <row r="44" spans="2:16" x14ac:dyDescent="0.55000000000000004">
      <c r="B44" s="10"/>
      <c r="C44" s="48"/>
      <c r="D44" s="2">
        <f>D43/C43-1</f>
        <v>1.3231046931407939</v>
      </c>
      <c r="E44" s="2">
        <f t="shared" ref="E44:O44" si="22">E43/D43-1</f>
        <v>0.60372960372960383</v>
      </c>
      <c r="F44" s="2">
        <f t="shared" si="22"/>
        <v>1.9307170542635661</v>
      </c>
      <c r="G44" s="2">
        <f t="shared" si="22"/>
        <v>0.74690031410150426</v>
      </c>
      <c r="H44" s="2">
        <f t="shared" si="22"/>
        <v>0.67284943692627985</v>
      </c>
      <c r="I44" s="2">
        <f t="shared" si="22"/>
        <v>0.46387660625210492</v>
      </c>
      <c r="J44" s="2">
        <f t="shared" si="22"/>
        <v>0.3843377668166279</v>
      </c>
      <c r="K44" s="2">
        <f t="shared" si="22"/>
        <v>0.29845922148694393</v>
      </c>
      <c r="L44" s="2">
        <f t="shared" si="22"/>
        <v>0.27578596293993307</v>
      </c>
      <c r="M44" s="2">
        <f t="shared" si="22"/>
        <v>0.20345996783209652</v>
      </c>
      <c r="N44" s="2">
        <f t="shared" si="22"/>
        <v>0.18477416691695603</v>
      </c>
      <c r="O44" s="2">
        <f t="shared" si="22"/>
        <v>0.17816589964097385</v>
      </c>
    </row>
    <row r="45" spans="2:16" x14ac:dyDescent="0.55000000000000004">
      <c r="B45" t="s">
        <v>207</v>
      </c>
      <c r="D45" s="15">
        <v>0.4</v>
      </c>
      <c r="E45" s="2">
        <f>E48/E43</f>
        <v>0.58575581395348841</v>
      </c>
      <c r="F45" s="2">
        <f>F48/F43</f>
        <v>0.68308811373780798</v>
      </c>
      <c r="G45" s="2">
        <f>G48/G43</f>
        <v>0.74817829090564969</v>
      </c>
      <c r="H45" s="2">
        <f>H48/H43</f>
        <v>0.72365220342818348</v>
      </c>
      <c r="I45" s="19">
        <f t="shared" ref="I45:O45" si="23">H45-0.5%</f>
        <v>0.71865220342818348</v>
      </c>
      <c r="J45" s="19">
        <f t="shared" si="23"/>
        <v>0.71365220342818347</v>
      </c>
      <c r="K45" s="19">
        <f t="shared" si="23"/>
        <v>0.70865220342818347</v>
      </c>
      <c r="L45" s="19">
        <f t="shared" si="23"/>
        <v>0.70365220342818346</v>
      </c>
      <c r="M45" s="19">
        <f t="shared" si="23"/>
        <v>0.69865220342818346</v>
      </c>
      <c r="N45" s="19">
        <f t="shared" si="23"/>
        <v>0.69365220342818346</v>
      </c>
      <c r="O45" s="19">
        <f t="shared" si="23"/>
        <v>0.68865220342818345</v>
      </c>
    </row>
    <row r="46" spans="2:16" x14ac:dyDescent="0.55000000000000004">
      <c r="D46" s="2">
        <f>D43/C43-1</f>
        <v>1.3231046931407939</v>
      </c>
      <c r="E46" s="2">
        <f t="shared" ref="E46:O46" si="24">E43/D43-1</f>
        <v>0.60372960372960383</v>
      </c>
      <c r="F46" s="2">
        <f t="shared" si="24"/>
        <v>1.9307170542635661</v>
      </c>
      <c r="G46" s="2">
        <f t="shared" si="24"/>
        <v>0.74690031410150426</v>
      </c>
      <c r="H46" s="2">
        <f t="shared" si="24"/>
        <v>0.67284943692627985</v>
      </c>
      <c r="I46" s="2">
        <f t="shared" si="24"/>
        <v>0.46387660625210492</v>
      </c>
      <c r="J46" s="2">
        <f t="shared" si="24"/>
        <v>0.3843377668166279</v>
      </c>
      <c r="K46" s="2">
        <f t="shared" si="24"/>
        <v>0.29845922148694393</v>
      </c>
      <c r="L46" s="2">
        <f t="shared" si="24"/>
        <v>0.27578596293993307</v>
      </c>
      <c r="M46" s="2">
        <f t="shared" si="24"/>
        <v>0.20345996783209652</v>
      </c>
      <c r="N46" s="2">
        <f t="shared" si="24"/>
        <v>0.18477416691695603</v>
      </c>
      <c r="O46" s="2">
        <f t="shared" si="24"/>
        <v>0.17816589964097385</v>
      </c>
    </row>
    <row r="47" spans="2:16" x14ac:dyDescent="0.55000000000000004">
      <c r="D47" s="11"/>
      <c r="E47" s="11"/>
      <c r="F47" s="10"/>
      <c r="G47" s="10"/>
      <c r="H47" s="10"/>
      <c r="I47" s="10"/>
      <c r="J47" s="10"/>
      <c r="K47" s="10"/>
      <c r="L47" s="10"/>
      <c r="M47" s="10"/>
      <c r="N47" s="10"/>
      <c r="O47" s="10"/>
    </row>
    <row r="48" spans="2:16" x14ac:dyDescent="0.55000000000000004">
      <c r="B48" t="s">
        <v>208</v>
      </c>
      <c r="D48" s="12">
        <f>D43*D45</f>
        <v>0.51480000000000004</v>
      </c>
      <c r="E48" s="48">
        <v>1.2090000000000001</v>
      </c>
      <c r="F48" s="4">
        <f>F43-F72</f>
        <v>4.1320000000000006</v>
      </c>
      <c r="G48" s="4">
        <f>G43-G72</f>
        <v>7.9060000000000006</v>
      </c>
      <c r="H48" s="4">
        <f>H43-H72</f>
        <v>12.792</v>
      </c>
      <c r="I48" s="4">
        <f t="shared" ref="I48:O48" si="25">I62*I16</f>
        <v>18.596524813333332</v>
      </c>
      <c r="J48" s="4">
        <f t="shared" si="25"/>
        <v>25.56475945713067</v>
      </c>
      <c r="K48" s="4">
        <f t="shared" si="25"/>
        <v>32.962227808833283</v>
      </c>
      <c r="L48" s="4">
        <f t="shared" si="25"/>
        <v>41.756038191400783</v>
      </c>
      <c r="M48" s="4">
        <f t="shared" si="25"/>
        <v>49.894642548593055</v>
      </c>
      <c r="N48" s="4">
        <f t="shared" si="25"/>
        <v>58.69082697053517</v>
      </c>
      <c r="O48" s="4">
        <f t="shared" si="25"/>
        <v>68.649100112114013</v>
      </c>
      <c r="P48" s="2">
        <f>(O48/E48)^(1/10)-1</f>
        <v>0.49768629191241476</v>
      </c>
    </row>
    <row r="49" spans="2:15" x14ac:dyDescent="0.55000000000000004">
      <c r="B49" t="s">
        <v>59</v>
      </c>
      <c r="D49" s="12"/>
      <c r="E49" s="2">
        <f>E48/D48-1</f>
        <v>1.3484848484848486</v>
      </c>
      <c r="F49" s="2">
        <f t="shared" ref="F49:O49" si="26">F48/E48-1</f>
        <v>2.4177005789909018</v>
      </c>
      <c r="G49" s="2">
        <f t="shared" si="26"/>
        <v>0.91335914811229424</v>
      </c>
      <c r="H49" s="2">
        <f t="shared" si="26"/>
        <v>0.6180116367315962</v>
      </c>
      <c r="I49" s="2">
        <f t="shared" si="26"/>
        <v>0.45376210235563885</v>
      </c>
      <c r="J49" s="2">
        <f t="shared" si="26"/>
        <v>0.37470628054125754</v>
      </c>
      <c r="K49" s="2">
        <f t="shared" si="26"/>
        <v>0.28936193841789781</v>
      </c>
      <c r="L49" s="2">
        <f t="shared" si="26"/>
        <v>0.26678446716550264</v>
      </c>
      <c r="M49" s="2">
        <f t="shared" si="26"/>
        <v>0.19490844222065906</v>
      </c>
      <c r="N49" s="2">
        <f t="shared" si="26"/>
        <v>0.17629516863209105</v>
      </c>
      <c r="O49" s="2">
        <f t="shared" si="26"/>
        <v>0.16967341670919445</v>
      </c>
    </row>
    <row r="50" spans="2:15" x14ac:dyDescent="0.55000000000000004">
      <c r="D50" s="12"/>
      <c r="E50" s="12"/>
      <c r="F50" s="4"/>
      <c r="G50" s="4"/>
      <c r="H50" s="4"/>
      <c r="I50" s="4"/>
      <c r="J50" s="4"/>
      <c r="K50" s="4"/>
      <c r="L50" s="4"/>
      <c r="M50" s="4"/>
      <c r="N50" s="4"/>
      <c r="O50" s="4"/>
    </row>
    <row r="51" spans="2:15" x14ac:dyDescent="0.55000000000000004">
      <c r="B51" s="6" t="s">
        <v>93</v>
      </c>
      <c r="C51" s="6"/>
      <c r="D51" s="4">
        <f t="shared" ref="D51:O51" si="27">D52*D48</f>
        <v>0.46332000000000007</v>
      </c>
      <c r="E51" s="4">
        <f t="shared" si="27"/>
        <v>1.0881000000000001</v>
      </c>
      <c r="F51" s="4">
        <f t="shared" si="27"/>
        <v>3.6774800000000005</v>
      </c>
      <c r="G51" s="4">
        <f t="shared" si="27"/>
        <v>6.9572800000000008</v>
      </c>
      <c r="H51" s="4">
        <f t="shared" si="27"/>
        <v>11.12904</v>
      </c>
      <c r="I51" s="4">
        <f t="shared" si="27"/>
        <v>15.993011339466666</v>
      </c>
      <c r="J51" s="4">
        <f t="shared" si="27"/>
        <v>21.730045538561068</v>
      </c>
      <c r="K51" s="4">
        <f t="shared" si="27"/>
        <v>27.688271359419957</v>
      </c>
      <c r="L51" s="4">
        <f t="shared" si="27"/>
        <v>34.657511698862649</v>
      </c>
      <c r="M51" s="4">
        <f t="shared" si="27"/>
        <v>40.913606889846299</v>
      </c>
      <c r="N51" s="4">
        <f t="shared" si="27"/>
        <v>47.539569846133482</v>
      </c>
      <c r="O51" s="4">
        <f t="shared" si="27"/>
        <v>54.919280089691206</v>
      </c>
    </row>
    <row r="52" spans="2:15" x14ac:dyDescent="0.55000000000000004">
      <c r="B52" t="s">
        <v>56</v>
      </c>
      <c r="D52" s="15">
        <v>0.9</v>
      </c>
      <c r="E52" s="15">
        <v>0.9</v>
      </c>
      <c r="F52" s="19">
        <f>E52-1%</f>
        <v>0.89</v>
      </c>
      <c r="G52" s="19">
        <f>F52-1%</f>
        <v>0.88</v>
      </c>
      <c r="H52" s="19">
        <f>G52-1%</f>
        <v>0.87</v>
      </c>
      <c r="I52" s="19">
        <f t="shared" ref="I52:O52" si="28">H52-1%</f>
        <v>0.86</v>
      </c>
      <c r="J52" s="19">
        <f t="shared" si="28"/>
        <v>0.85</v>
      </c>
      <c r="K52" s="19">
        <f t="shared" si="28"/>
        <v>0.84</v>
      </c>
      <c r="L52" s="19">
        <f t="shared" si="28"/>
        <v>0.83</v>
      </c>
      <c r="M52" s="19">
        <f t="shared" si="28"/>
        <v>0.82</v>
      </c>
      <c r="N52" s="19">
        <f t="shared" si="28"/>
        <v>0.80999999999999994</v>
      </c>
      <c r="O52" s="19">
        <f t="shared" si="28"/>
        <v>0.79999999999999993</v>
      </c>
    </row>
    <row r="53" spans="2:15" x14ac:dyDescent="0.55000000000000004">
      <c r="B53" s="6" t="s">
        <v>94</v>
      </c>
      <c r="C53" s="6"/>
      <c r="D53" s="4">
        <f t="shared" ref="D53:O53" si="29">D48-D51</f>
        <v>5.147999999999997E-2</v>
      </c>
      <c r="E53" s="4">
        <f t="shared" si="29"/>
        <v>0.12090000000000001</v>
      </c>
      <c r="F53" s="4">
        <f t="shared" si="29"/>
        <v>0.45452000000000004</v>
      </c>
      <c r="G53" s="4">
        <f t="shared" si="29"/>
        <v>0.94871999999999979</v>
      </c>
      <c r="H53" s="4">
        <f t="shared" si="29"/>
        <v>1.66296</v>
      </c>
      <c r="I53" s="4">
        <f t="shared" si="29"/>
        <v>2.6035134738666663</v>
      </c>
      <c r="J53" s="4">
        <f t="shared" si="29"/>
        <v>3.8347139185696015</v>
      </c>
      <c r="K53" s="4">
        <f t="shared" si="29"/>
        <v>5.2739564494133262</v>
      </c>
      <c r="L53" s="4">
        <f t="shared" si="29"/>
        <v>7.0985264925381344</v>
      </c>
      <c r="M53" s="4">
        <f t="shared" si="29"/>
        <v>8.9810356587467552</v>
      </c>
      <c r="N53" s="4">
        <f t="shared" si="29"/>
        <v>11.151257124401688</v>
      </c>
      <c r="O53" s="4">
        <f t="shared" si="29"/>
        <v>13.729820022422807</v>
      </c>
    </row>
    <row r="55" spans="2:15" x14ac:dyDescent="0.55000000000000004">
      <c r="B55" s="6" t="s">
        <v>95</v>
      </c>
      <c r="C55" s="6"/>
      <c r="D55" s="4">
        <f t="shared" ref="D55:O55" si="30">D56*D48</f>
        <v>0.33462000000000003</v>
      </c>
      <c r="E55" s="4">
        <f t="shared" si="30"/>
        <v>0.84630000000000005</v>
      </c>
      <c r="F55" s="4">
        <f t="shared" si="30"/>
        <v>2.7890999999999999</v>
      </c>
      <c r="G55" s="4">
        <f t="shared" si="30"/>
        <v>5.1388999999999996</v>
      </c>
      <c r="H55" s="4">
        <f t="shared" si="30"/>
        <v>7.9949999999999983</v>
      </c>
      <c r="I55" s="4">
        <f t="shared" si="30"/>
        <v>11.157914887999997</v>
      </c>
      <c r="J55" s="4">
        <f t="shared" si="30"/>
        <v>14.69973668785013</v>
      </c>
      <c r="K55" s="4">
        <f t="shared" si="30"/>
        <v>18.129225294858301</v>
      </c>
      <c r="L55" s="4">
        <f t="shared" si="30"/>
        <v>21.921920050485404</v>
      </c>
      <c r="M55" s="4">
        <f t="shared" si="30"/>
        <v>24.947321274296517</v>
      </c>
      <c r="N55" s="4">
        <f t="shared" si="30"/>
        <v>27.878142811004192</v>
      </c>
      <c r="O55" s="4">
        <f t="shared" si="30"/>
        <v>30.892095050451289</v>
      </c>
    </row>
    <row r="56" spans="2:15" x14ac:dyDescent="0.55000000000000004">
      <c r="B56" t="s">
        <v>56</v>
      </c>
      <c r="D56" s="15">
        <v>0.65</v>
      </c>
      <c r="E56" s="15">
        <v>0.7</v>
      </c>
      <c r="F56" s="19">
        <f>E56-2.5%</f>
        <v>0.67499999999999993</v>
      </c>
      <c r="G56" s="19">
        <f t="shared" ref="G56:O56" si="31">F56-2.5%</f>
        <v>0.64999999999999991</v>
      </c>
      <c r="H56" s="19">
        <f t="shared" si="31"/>
        <v>0.62499999999999989</v>
      </c>
      <c r="I56" s="19">
        <f t="shared" si="31"/>
        <v>0.59999999999999987</v>
      </c>
      <c r="J56" s="19">
        <f t="shared" si="31"/>
        <v>0.57499999999999984</v>
      </c>
      <c r="K56" s="19">
        <f t="shared" si="31"/>
        <v>0.54999999999999982</v>
      </c>
      <c r="L56" s="19">
        <f t="shared" si="31"/>
        <v>0.5249999999999998</v>
      </c>
      <c r="M56" s="19">
        <f t="shared" si="31"/>
        <v>0.49999999999999978</v>
      </c>
      <c r="N56" s="19">
        <f t="shared" si="31"/>
        <v>0.47499999999999976</v>
      </c>
      <c r="O56" s="19">
        <f t="shared" si="31"/>
        <v>0.44999999999999973</v>
      </c>
    </row>
    <row r="57" spans="2:15" x14ac:dyDescent="0.55000000000000004">
      <c r="B57" s="6" t="s">
        <v>96</v>
      </c>
      <c r="C57" s="6"/>
      <c r="D57" s="4">
        <f t="shared" ref="D57:O57" si="32">D48-D55</f>
        <v>0.18018000000000001</v>
      </c>
      <c r="E57" s="4">
        <f t="shared" si="32"/>
        <v>0.36270000000000002</v>
      </c>
      <c r="F57" s="4">
        <f t="shared" si="32"/>
        <v>1.3429000000000006</v>
      </c>
      <c r="G57" s="4">
        <f t="shared" si="32"/>
        <v>2.767100000000001</v>
      </c>
      <c r="H57" s="4">
        <f t="shared" si="32"/>
        <v>4.7970000000000015</v>
      </c>
      <c r="I57" s="4">
        <f t="shared" si="32"/>
        <v>7.4386099253333349</v>
      </c>
      <c r="J57" s="4">
        <f t="shared" si="32"/>
        <v>10.865022769280539</v>
      </c>
      <c r="K57" s="4">
        <f t="shared" si="32"/>
        <v>14.833002513974982</v>
      </c>
      <c r="L57" s="4">
        <f t="shared" si="32"/>
        <v>19.834118140915379</v>
      </c>
      <c r="M57" s="4">
        <f t="shared" si="32"/>
        <v>24.947321274296538</v>
      </c>
      <c r="N57" s="4">
        <f t="shared" si="32"/>
        <v>30.812684159530978</v>
      </c>
      <c r="O57" s="4">
        <f t="shared" si="32"/>
        <v>37.757005061662724</v>
      </c>
    </row>
    <row r="59" spans="2:15" x14ac:dyDescent="0.55000000000000004">
      <c r="B59" s="6" t="s">
        <v>204</v>
      </c>
      <c r="C59" s="6"/>
      <c r="E59" s="4">
        <f>E52*E55</f>
        <v>0.76167000000000007</v>
      </c>
      <c r="F59" s="4">
        <f t="shared" ref="F59:O59" si="33">F52*F55</f>
        <v>2.4822989999999998</v>
      </c>
      <c r="G59" s="4">
        <f t="shared" si="33"/>
        <v>4.5222319999999998</v>
      </c>
      <c r="H59" s="4">
        <f t="shared" si="33"/>
        <v>6.9556499999999986</v>
      </c>
      <c r="I59" s="4">
        <f t="shared" si="33"/>
        <v>9.5958068036799968</v>
      </c>
      <c r="J59" s="4">
        <f t="shared" si="33"/>
        <v>12.494776184672611</v>
      </c>
      <c r="K59" s="4">
        <f t="shared" si="33"/>
        <v>15.228549247680972</v>
      </c>
      <c r="L59" s="4">
        <f t="shared" si="33"/>
        <v>18.195193641902886</v>
      </c>
      <c r="M59" s="4">
        <f t="shared" si="33"/>
        <v>20.456803444923143</v>
      </c>
      <c r="N59" s="4">
        <f t="shared" si="33"/>
        <v>22.581295676913395</v>
      </c>
      <c r="O59" s="4">
        <f t="shared" si="33"/>
        <v>24.71367604036103</v>
      </c>
    </row>
    <row r="60" spans="2:15" x14ac:dyDescent="0.55000000000000004">
      <c r="B60" s="6" t="s">
        <v>96</v>
      </c>
      <c r="C60" s="6"/>
      <c r="E60" s="4">
        <f>E51-E59</f>
        <v>0.32643</v>
      </c>
      <c r="F60" s="4">
        <f t="shared" ref="F60:O60" si="34">F51-F59</f>
        <v>1.1951810000000007</v>
      </c>
      <c r="G60" s="4">
        <f t="shared" si="34"/>
        <v>2.435048000000001</v>
      </c>
      <c r="H60" s="4">
        <f t="shared" si="34"/>
        <v>4.1733900000000013</v>
      </c>
      <c r="I60" s="4">
        <f t="shared" si="34"/>
        <v>6.3972045357866687</v>
      </c>
      <c r="J60" s="4">
        <f t="shared" si="34"/>
        <v>9.2352693538884569</v>
      </c>
      <c r="K60" s="4">
        <f t="shared" si="34"/>
        <v>12.459722111738985</v>
      </c>
      <c r="L60" s="4">
        <f t="shared" si="34"/>
        <v>16.462318056959763</v>
      </c>
      <c r="M60" s="4">
        <f t="shared" si="34"/>
        <v>20.456803444923157</v>
      </c>
      <c r="N60" s="4">
        <f t="shared" si="34"/>
        <v>24.958274169220086</v>
      </c>
      <c r="O60" s="4">
        <f t="shared" si="34"/>
        <v>30.205604049330177</v>
      </c>
    </row>
    <row r="62" spans="2:15" x14ac:dyDescent="0.55000000000000004">
      <c r="B62" s="51" t="s">
        <v>122</v>
      </c>
      <c r="C62" s="51"/>
      <c r="D62" s="52"/>
      <c r="E62" s="52">
        <f>E48/E16</f>
        <v>2.7168539325842698E-3</v>
      </c>
      <c r="F62" s="52">
        <f>F48/F16</f>
        <v>7.2353713702028302E-3</v>
      </c>
      <c r="G62" s="52">
        <f>G48/G16</f>
        <v>1.1216093519464305E-2</v>
      </c>
      <c r="H62" s="52">
        <f>H48/H16</f>
        <v>1.4936436076677436E-2</v>
      </c>
      <c r="I62" s="53">
        <f>H62+0.35%</f>
        <v>1.8436436076677436E-2</v>
      </c>
      <c r="J62" s="53">
        <f>I62+0.33%</f>
        <v>2.1736436076677437E-2</v>
      </c>
      <c r="K62" s="53">
        <f>J62+0.25%</f>
        <v>2.4236436076677435E-2</v>
      </c>
      <c r="L62" s="53">
        <f>K62+0.25%</f>
        <v>2.6736436076677434E-2</v>
      </c>
      <c r="M62" s="53">
        <f>L62+0.125%</f>
        <v>2.7986436076677435E-2</v>
      </c>
      <c r="N62" s="53">
        <f>M62+0.1%</f>
        <v>2.8986436076677436E-2</v>
      </c>
      <c r="O62" s="53">
        <f>N62+0.1%</f>
        <v>2.9986436076677437E-2</v>
      </c>
    </row>
    <row r="63" spans="2:15" x14ac:dyDescent="0.55000000000000004">
      <c r="B63" t="s">
        <v>123</v>
      </c>
      <c r="D63" s="3"/>
      <c r="E63" s="3">
        <f t="shared" ref="E63:O63" si="35">E55/E23</f>
        <v>1.3433333333333334E-2</v>
      </c>
      <c r="F63" s="3">
        <f t="shared" si="35"/>
        <v>3.3320424305476035E-2</v>
      </c>
      <c r="G63" s="3">
        <f t="shared" si="35"/>
        <v>4.8098666427057811E-2</v>
      </c>
      <c r="H63" s="3">
        <f t="shared" si="35"/>
        <v>5.9622479853977908E-2</v>
      </c>
      <c r="I63" s="3">
        <f t="shared" si="35"/>
        <v>6.8463538699205476E-2</v>
      </c>
      <c r="J63" s="3">
        <f t="shared" si="35"/>
        <v>7.5032857755410937E-2</v>
      </c>
      <c r="K63" s="3">
        <f t="shared" si="35"/>
        <v>7.7693094037548135E-2</v>
      </c>
      <c r="L63" s="3">
        <f t="shared" si="35"/>
        <v>7.9494748691234643E-2</v>
      </c>
      <c r="M63" s="3">
        <f t="shared" si="35"/>
        <v>7.7066609245801068E-2</v>
      </c>
      <c r="N63" s="3">
        <f t="shared" si="35"/>
        <v>7.3797144543302481E-2</v>
      </c>
      <c r="O63" s="3">
        <f t="shared" si="35"/>
        <v>7.0437346913251042E-2</v>
      </c>
    </row>
    <row r="64" spans="2:15" x14ac:dyDescent="0.55000000000000004">
      <c r="B64" t="s">
        <v>124</v>
      </c>
      <c r="D64" s="3"/>
      <c r="E64" s="3">
        <f t="shared" ref="E64:O64" si="36">E51/E19</f>
        <v>5.1325471698113207E-3</v>
      </c>
      <c r="F64" s="3">
        <f t="shared" si="36"/>
        <v>1.3516834109286936E-2</v>
      </c>
      <c r="G64" s="3">
        <f t="shared" si="36"/>
        <v>2.0718029350104819E-2</v>
      </c>
      <c r="H64" s="3">
        <f t="shared" si="36"/>
        <v>2.7276609561724851E-2</v>
      </c>
      <c r="I64" s="3">
        <f t="shared" si="36"/>
        <v>3.3281245691247421E-2</v>
      </c>
      <c r="J64" s="3">
        <f t="shared" si="36"/>
        <v>3.8782108235864331E-2</v>
      </c>
      <c r="K64" s="3">
        <f t="shared" si="36"/>
        <v>4.2733867006896339E-2</v>
      </c>
      <c r="L64" s="3">
        <f t="shared" si="36"/>
        <v>4.6580672947739661E-2</v>
      </c>
      <c r="M64" s="3">
        <f t="shared" si="36"/>
        <v>4.8170993039526384E-2</v>
      </c>
      <c r="N64" s="3">
        <f t="shared" si="36"/>
        <v>4.9283777753954615E-2</v>
      </c>
      <c r="O64" s="3">
        <f t="shared" si="36"/>
        <v>5.035458133630738E-2</v>
      </c>
    </row>
    <row r="65" spans="2:21" x14ac:dyDescent="0.55000000000000004">
      <c r="B65" t="s">
        <v>125</v>
      </c>
      <c r="D65" s="3"/>
      <c r="E65" s="3">
        <f t="shared" ref="E65:O65" si="37">E59/E25</f>
        <v>2.6631818181818184E-2</v>
      </c>
      <c r="F65" s="3">
        <f t="shared" si="37"/>
        <v>6.5214395180005394E-2</v>
      </c>
      <c r="G65" s="3">
        <f t="shared" si="37"/>
        <v>9.2934389467592554E-2</v>
      </c>
      <c r="H65" s="3">
        <f t="shared" si="37"/>
        <v>0.11372406440933108</v>
      </c>
      <c r="I65" s="3">
        <f t="shared" si="37"/>
        <v>0.12890908806110446</v>
      </c>
      <c r="J65" s="3">
        <f t="shared" si="37"/>
        <v>0.13945542755020238</v>
      </c>
      <c r="K65" s="3">
        <f t="shared" si="37"/>
        <v>0.14252771433078121</v>
      </c>
      <c r="L65" s="3">
        <f t="shared" si="37"/>
        <v>0.14393195166805725</v>
      </c>
      <c r="M65" s="3">
        <f t="shared" si="37"/>
        <v>0.1377056435326266</v>
      </c>
      <c r="N65" s="3">
        <f t="shared" si="37"/>
        <v>0.13012261195131691</v>
      </c>
      <c r="O65" s="3">
        <f t="shared" si="37"/>
        <v>0.122546608660299</v>
      </c>
    </row>
    <row r="66" spans="2:21" x14ac:dyDescent="0.55000000000000004">
      <c r="D66" s="3"/>
      <c r="E66" s="3"/>
      <c r="S66" s="2">
        <v>0.3</v>
      </c>
      <c r="T66" s="2">
        <v>0.3</v>
      </c>
      <c r="U66" s="2">
        <v>0.28999999999999998</v>
      </c>
    </row>
    <row r="67" spans="2:21" x14ac:dyDescent="0.55000000000000004">
      <c r="B67" t="s">
        <v>55</v>
      </c>
      <c r="C67" s="13">
        <f>D67-D68</f>
        <v>80</v>
      </c>
      <c r="D67" s="13">
        <f>E67-E68</f>
        <v>205</v>
      </c>
      <c r="E67" s="16">
        <v>330</v>
      </c>
      <c r="F67" s="13">
        <f>E67+F68</f>
        <v>430</v>
      </c>
      <c r="G67" s="13">
        <f>F67+G68</f>
        <v>610</v>
      </c>
      <c r="H67" s="13">
        <f t="shared" ref="H67:O67" si="38">G67+H68</f>
        <v>630</v>
      </c>
      <c r="I67" s="13">
        <f t="shared" si="38"/>
        <v>640</v>
      </c>
      <c r="J67" s="13">
        <f t="shared" si="38"/>
        <v>650</v>
      </c>
      <c r="K67" s="13">
        <f t="shared" si="38"/>
        <v>660</v>
      </c>
      <c r="L67" s="13">
        <f t="shared" si="38"/>
        <v>670</v>
      </c>
      <c r="M67" s="13">
        <f t="shared" si="38"/>
        <v>680</v>
      </c>
      <c r="N67" s="13">
        <f t="shared" si="38"/>
        <v>690</v>
      </c>
      <c r="O67" s="13">
        <f t="shared" si="38"/>
        <v>700</v>
      </c>
    </row>
    <row r="68" spans="2:21" x14ac:dyDescent="0.55000000000000004">
      <c r="B68" t="s">
        <v>221</v>
      </c>
      <c r="D68" s="38">
        <v>125</v>
      </c>
      <c r="E68" s="38">
        <v>125</v>
      </c>
      <c r="F68" s="38">
        <v>100</v>
      </c>
      <c r="G68" s="38">
        <v>180</v>
      </c>
      <c r="H68" s="38">
        <v>20</v>
      </c>
      <c r="I68" s="38">
        <v>10</v>
      </c>
      <c r="J68" s="38">
        <v>10</v>
      </c>
      <c r="K68" s="38">
        <v>10</v>
      </c>
      <c r="L68" s="38">
        <v>10</v>
      </c>
      <c r="M68" s="38">
        <v>10</v>
      </c>
      <c r="N68" s="38">
        <v>10</v>
      </c>
      <c r="O68" s="38">
        <v>10</v>
      </c>
    </row>
    <row r="69" spans="2:21" x14ac:dyDescent="0.55000000000000004">
      <c r="D69" s="11"/>
      <c r="E69" s="13"/>
      <c r="F69" s="10"/>
      <c r="G69" s="10"/>
      <c r="H69" s="10"/>
      <c r="I69" s="10"/>
      <c r="J69" s="10"/>
      <c r="K69" s="10"/>
      <c r="L69" s="10"/>
      <c r="M69" s="10"/>
      <c r="N69" s="10"/>
      <c r="O69" s="10"/>
    </row>
    <row r="70" spans="2:21" x14ac:dyDescent="0.55000000000000004">
      <c r="B70" t="s">
        <v>60</v>
      </c>
      <c r="C70" s="12">
        <f t="shared" ref="C70:O70" si="39">C43*1000/C67</f>
        <v>6.9249999999999998</v>
      </c>
      <c r="D70" s="12">
        <f t="shared" si="39"/>
        <v>6.2780487804878051</v>
      </c>
      <c r="E70" s="12">
        <f t="shared" si="39"/>
        <v>6.2545454545454549</v>
      </c>
      <c r="F70" s="12">
        <f t="shared" si="39"/>
        <v>14.067441860465117</v>
      </c>
      <c r="G70" s="12">
        <f t="shared" si="39"/>
        <v>17.32295081967213</v>
      </c>
      <c r="H70" s="12">
        <f t="shared" si="39"/>
        <v>28.05873015873016</v>
      </c>
      <c r="I70" s="12">
        <f t="shared" si="39"/>
        <v>40.43272932612259</v>
      </c>
      <c r="J70" s="12">
        <f t="shared" si="39"/>
        <v>55.111438002831484</v>
      </c>
      <c r="K70" s="12">
        <f t="shared" si="39"/>
        <v>70.475713143513119</v>
      </c>
      <c r="L70" s="12">
        <f t="shared" si="39"/>
        <v>88.569956518516037</v>
      </c>
      <c r="M70" s="12">
        <f t="shared" si="39"/>
        <v>105.02289118409492</v>
      </c>
      <c r="N70" s="12">
        <f t="shared" si="39"/>
        <v>122.62509814303681</v>
      </c>
      <c r="O70" s="12">
        <f t="shared" si="39"/>
        <v>142.40881322836432</v>
      </c>
    </row>
    <row r="71" spans="2:21" x14ac:dyDescent="0.55000000000000004">
      <c r="D71" s="11"/>
      <c r="E71" s="12"/>
      <c r="F71" s="10"/>
      <c r="G71" s="10"/>
      <c r="H71" s="10"/>
      <c r="I71" s="10"/>
      <c r="J71" s="10"/>
      <c r="K71" s="10"/>
      <c r="L71" s="10"/>
      <c r="M71" s="10"/>
      <c r="N71" s="10"/>
      <c r="O71" s="10"/>
    </row>
    <row r="72" spans="2:21" x14ac:dyDescent="0.55000000000000004">
      <c r="B72" t="s">
        <v>18</v>
      </c>
      <c r="D72" s="12">
        <f>D43-D48</f>
        <v>0.77219999999999989</v>
      </c>
      <c r="E72" s="142">
        <v>0.85599999999999998</v>
      </c>
      <c r="F72" s="142">
        <v>1.917</v>
      </c>
      <c r="G72" s="142">
        <v>2.661</v>
      </c>
      <c r="H72" s="142">
        <v>4.8849999999999998</v>
      </c>
      <c r="I72" s="12">
        <f t="shared" ref="I72:O72" si="40">I43-I48</f>
        <v>7.2804219553851262</v>
      </c>
      <c r="J72" s="12">
        <f t="shared" si="40"/>
        <v>10.257675244709795</v>
      </c>
      <c r="K72" s="12">
        <f t="shared" si="40"/>
        <v>13.551742865885373</v>
      </c>
      <c r="L72" s="12">
        <f t="shared" si="40"/>
        <v>17.585832676004962</v>
      </c>
      <c r="M72" s="12">
        <f t="shared" si="40"/>
        <v>21.52092345659149</v>
      </c>
      <c r="N72" s="12">
        <f t="shared" si="40"/>
        <v>25.920490748160233</v>
      </c>
      <c r="O72" s="12">
        <f t="shared" si="40"/>
        <v>31.037069147741022</v>
      </c>
      <c r="P72" s="2">
        <f>(O72/E72)^(1/10)-1</f>
        <v>0.43199233689105054</v>
      </c>
    </row>
    <row r="73" spans="2:21" x14ac:dyDescent="0.55000000000000004">
      <c r="B73" t="s">
        <v>59</v>
      </c>
      <c r="D73" s="12"/>
      <c r="E73" s="2">
        <f>E72/D72-1</f>
        <v>0.10852110852110863</v>
      </c>
      <c r="F73" s="2">
        <f t="shared" ref="F73:O73" si="41">F72/E72-1</f>
        <v>1.2394859813084111</v>
      </c>
      <c r="G73" s="2">
        <f t="shared" si="41"/>
        <v>0.38810641627543041</v>
      </c>
      <c r="H73" s="2">
        <f t="shared" si="41"/>
        <v>0.83577602405110851</v>
      </c>
      <c r="I73" s="2">
        <f t="shared" si="41"/>
        <v>0.49036273395806074</v>
      </c>
      <c r="J73" s="2">
        <f t="shared" si="41"/>
        <v>0.40893966140554205</v>
      </c>
      <c r="K73" s="2">
        <f t="shared" si="41"/>
        <v>0.32113198581466418</v>
      </c>
      <c r="L73" s="2">
        <f t="shared" si="41"/>
        <v>0.29768051608142954</v>
      </c>
      <c r="M73" s="2">
        <f t="shared" si="41"/>
        <v>0.22376482553230326</v>
      </c>
      <c r="N73" s="2">
        <f t="shared" si="41"/>
        <v>0.20443208677558999</v>
      </c>
      <c r="O73" s="2">
        <f t="shared" si="41"/>
        <v>0.19739512069014165</v>
      </c>
    </row>
    <row r="74" spans="2:21" x14ac:dyDescent="0.55000000000000004">
      <c r="B74" t="s">
        <v>214</v>
      </c>
      <c r="D74" s="12">
        <f t="shared" ref="D74:O74" si="42">D72*D52</f>
        <v>0.69497999999999993</v>
      </c>
      <c r="E74" s="12">
        <f t="shared" si="42"/>
        <v>0.77039999999999997</v>
      </c>
      <c r="F74" s="12">
        <f t="shared" si="42"/>
        <v>1.7061300000000001</v>
      </c>
      <c r="G74" s="12">
        <f t="shared" si="42"/>
        <v>2.3416800000000002</v>
      </c>
      <c r="H74" s="12">
        <f t="shared" si="42"/>
        <v>4.2499500000000001</v>
      </c>
      <c r="I74" s="12">
        <f t="shared" si="42"/>
        <v>6.2611628816312086</v>
      </c>
      <c r="J74" s="12">
        <f t="shared" si="42"/>
        <v>8.7190239580033246</v>
      </c>
      <c r="K74" s="12">
        <f t="shared" si="42"/>
        <v>11.383464007343713</v>
      </c>
      <c r="L74" s="12">
        <f t="shared" si="42"/>
        <v>14.596241121084118</v>
      </c>
      <c r="M74" s="12">
        <f t="shared" si="42"/>
        <v>17.647157234405022</v>
      </c>
      <c r="N74" s="12">
        <f t="shared" si="42"/>
        <v>20.995597506009787</v>
      </c>
      <c r="O74" s="12">
        <f t="shared" si="42"/>
        <v>24.829655318192817</v>
      </c>
    </row>
    <row r="75" spans="2:21" x14ac:dyDescent="0.55000000000000004">
      <c r="B75" t="s">
        <v>215</v>
      </c>
      <c r="D75" s="12"/>
      <c r="E75" s="2">
        <f t="shared" ref="E75:O75" si="43">E72/E38</f>
        <v>0.12228571428571429</v>
      </c>
      <c r="F75" s="2">
        <f t="shared" si="43"/>
        <v>0.21065934065934067</v>
      </c>
      <c r="G75" s="2">
        <f t="shared" si="43"/>
        <v>0.21660561660561661</v>
      </c>
      <c r="H75" s="2">
        <f t="shared" si="43"/>
        <v>0.29454770195510938</v>
      </c>
      <c r="I75" s="2">
        <f t="shared" si="43"/>
        <v>0.32517253212361535</v>
      </c>
      <c r="J75" s="2">
        <f t="shared" si="43"/>
        <v>0.35242190562202258</v>
      </c>
      <c r="K75" s="2">
        <f t="shared" si="43"/>
        <v>0.37247668161520869</v>
      </c>
      <c r="L75" s="2">
        <f t="shared" si="43"/>
        <v>0.38668458594137789</v>
      </c>
      <c r="M75" s="2">
        <f t="shared" si="43"/>
        <v>0.37856879588046499</v>
      </c>
      <c r="N75" s="2">
        <f t="shared" si="43"/>
        <v>0.36476832384834468</v>
      </c>
      <c r="O75" s="2">
        <f t="shared" si="43"/>
        <v>0.34941744892666349</v>
      </c>
    </row>
    <row r="76" spans="2:21" x14ac:dyDescent="0.55000000000000004">
      <c r="B76" t="s">
        <v>267</v>
      </c>
      <c r="D76" s="12"/>
      <c r="E76" s="3">
        <f t="shared" ref="E76:O76" si="44">E74/E34</f>
        <v>9.4643734643734643E-4</v>
      </c>
      <c r="F76" s="3">
        <f t="shared" si="44"/>
        <v>1.6122944622944623E-3</v>
      </c>
      <c r="G76" s="3">
        <f t="shared" si="44"/>
        <v>1.6391776391776391E-3</v>
      </c>
      <c r="H76" s="3">
        <f t="shared" si="44"/>
        <v>2.2036799814577593E-3</v>
      </c>
      <c r="I76" s="3">
        <f t="shared" si="44"/>
        <v>2.4048386282360746E-3</v>
      </c>
      <c r="J76" s="3">
        <f t="shared" si="44"/>
        <v>2.5760569268440223E-3</v>
      </c>
      <c r="K76" s="3">
        <f t="shared" si="44"/>
        <v>2.6906177983997879E-3</v>
      </c>
      <c r="L76" s="3">
        <f t="shared" si="44"/>
        <v>2.7599968603432504E-3</v>
      </c>
      <c r="M76" s="3">
        <f t="shared" si="44"/>
        <v>2.6695146048573335E-3</v>
      </c>
      <c r="N76" s="3">
        <f t="shared" si="44"/>
        <v>2.540830953587364E-3</v>
      </c>
      <c r="O76" s="3">
        <f t="shared" si="44"/>
        <v>2.4038546854905597E-3</v>
      </c>
    </row>
    <row r="77" spans="2:21" x14ac:dyDescent="0.55000000000000004">
      <c r="D77" s="12"/>
      <c r="E77" s="2"/>
      <c r="F77" s="2"/>
      <c r="G77" s="2"/>
      <c r="H77" s="2"/>
      <c r="I77" s="2"/>
      <c r="J77" s="2"/>
      <c r="K77" s="2"/>
      <c r="L77" s="2"/>
      <c r="M77" s="2"/>
      <c r="N77" s="2"/>
      <c r="O77" s="2"/>
    </row>
    <row r="78" spans="2:21" x14ac:dyDescent="0.55000000000000004">
      <c r="B78" s="10" t="s">
        <v>258</v>
      </c>
    </row>
    <row r="79" spans="2:21" x14ac:dyDescent="0.55000000000000004">
      <c r="B79" s="10" t="s">
        <v>257</v>
      </c>
      <c r="C79" s="10"/>
      <c r="D79" s="50">
        <v>0.05</v>
      </c>
      <c r="E79" s="50">
        <v>0.06</v>
      </c>
      <c r="F79" s="47">
        <f t="shared" ref="F79:O79" si="45">F43/F80</f>
        <v>0.10171120366298471</v>
      </c>
      <c r="G79" s="47">
        <f t="shared" si="45"/>
        <v>0.12511690630908331</v>
      </c>
      <c r="H79" s="47">
        <f t="shared" si="45"/>
        <v>0.15613886640249994</v>
      </c>
      <c r="I79" s="47">
        <f t="shared" si="45"/>
        <v>0.1901455099244827</v>
      </c>
      <c r="J79" s="47">
        <f t="shared" si="45"/>
        <v>0.21807652167694425</v>
      </c>
      <c r="K79" s="47">
        <f t="shared" si="45"/>
        <v>0.24447794022358191</v>
      </c>
      <c r="L79" s="47">
        <f t="shared" si="45"/>
        <v>0.27486586801297197</v>
      </c>
      <c r="M79" s="47">
        <f t="shared" si="45"/>
        <v>0.3041972353228245</v>
      </c>
      <c r="N79" s="47">
        <f t="shared" si="45"/>
        <v>0.33105927586179457</v>
      </c>
      <c r="O79" s="47">
        <f t="shared" si="45"/>
        <v>0.3534845499962716</v>
      </c>
    </row>
    <row r="80" spans="2:21" x14ac:dyDescent="0.55000000000000004">
      <c r="B80" t="s">
        <v>259</v>
      </c>
      <c r="D80" s="12">
        <f>D43/D79</f>
        <v>25.74</v>
      </c>
      <c r="E80" s="12">
        <f>E43/E79</f>
        <v>34.400000000000006</v>
      </c>
      <c r="F80" s="12">
        <f>(1+F84)*E80</f>
        <v>59.472307692307695</v>
      </c>
      <c r="G80" s="12">
        <f t="shared" ref="G80:O80" si="46">(1+G84)*F80</f>
        <v>84.457011540037186</v>
      </c>
      <c r="H80" s="12">
        <f t="shared" si="46"/>
        <v>113.21332354515526</v>
      </c>
      <c r="I80" s="12">
        <f t="shared" si="46"/>
        <v>136.09023310093215</v>
      </c>
      <c r="J80" s="12">
        <f t="shared" si="46"/>
        <v>164.26543502425886</v>
      </c>
      <c r="K80" s="12">
        <f t="shared" si="46"/>
        <v>190.25835473000276</v>
      </c>
      <c r="L80" s="12">
        <f t="shared" si="46"/>
        <v>215.89392417615554</v>
      </c>
      <c r="M80" s="12">
        <f t="shared" si="46"/>
        <v>234.76730789284099</v>
      </c>
      <c r="N80" s="12">
        <f t="shared" si="46"/>
        <v>255.57754724872174</v>
      </c>
      <c r="O80" s="12">
        <f t="shared" si="46"/>
        <v>282.00997543147639</v>
      </c>
    </row>
    <row r="81" spans="2:15" x14ac:dyDescent="0.55000000000000004">
      <c r="D81" s="12"/>
      <c r="E81" s="12"/>
      <c r="F81" s="12"/>
      <c r="G81" s="12"/>
      <c r="H81" s="12"/>
      <c r="I81" s="12"/>
      <c r="J81" s="12"/>
      <c r="K81" s="12"/>
      <c r="L81" s="12"/>
      <c r="M81" s="12"/>
      <c r="N81" s="12"/>
      <c r="O81" s="12"/>
    </row>
    <row r="82" spans="2:15" x14ac:dyDescent="0.55000000000000004">
      <c r="B82" t="s">
        <v>403</v>
      </c>
      <c r="E82" s="2">
        <f>E80/D80-1</f>
        <v>0.33644133644133678</v>
      </c>
      <c r="F82" s="19">
        <v>0.3</v>
      </c>
      <c r="G82" s="19">
        <f>F82-2%</f>
        <v>0.27999999999999997</v>
      </c>
      <c r="H82" s="19">
        <v>0.25</v>
      </c>
      <c r="I82" s="19">
        <v>0.2</v>
      </c>
      <c r="J82" s="19">
        <v>0.2</v>
      </c>
      <c r="K82" s="19">
        <v>0.15</v>
      </c>
      <c r="L82" s="19">
        <v>0.15</v>
      </c>
      <c r="M82" s="19">
        <v>0.15</v>
      </c>
      <c r="N82" s="19">
        <v>0.15</v>
      </c>
      <c r="O82" s="19">
        <v>0.15</v>
      </c>
    </row>
    <row r="83" spans="2:15" x14ac:dyDescent="0.55000000000000004">
      <c r="B83" s="14" t="s">
        <v>260</v>
      </c>
      <c r="C83" s="14"/>
      <c r="D83" s="14"/>
      <c r="E83" s="14"/>
      <c r="F83" s="44">
        <f>F182</f>
        <v>0.42884615384615377</v>
      </c>
      <c r="G83" s="44">
        <f t="shared" ref="G83:O83" si="47">G182</f>
        <v>0.14010651372388361</v>
      </c>
      <c r="H83" s="44">
        <f t="shared" si="47"/>
        <v>9.0484602530436928E-2</v>
      </c>
      <c r="I83" s="44">
        <f t="shared" si="47"/>
        <v>2.0690572400022833E-3</v>
      </c>
      <c r="J83" s="44">
        <f t="shared" si="47"/>
        <v>7.0332402357662725E-3</v>
      </c>
      <c r="K83" s="44">
        <f t="shared" si="47"/>
        <v>8.2373047738572968E-3</v>
      </c>
      <c r="L83" s="44">
        <f t="shared" si="47"/>
        <v>-1.5259165714260345E-2</v>
      </c>
      <c r="M83" s="44">
        <f t="shared" si="47"/>
        <v>-6.2580292434325252E-2</v>
      </c>
      <c r="N83" s="44">
        <f t="shared" si="47"/>
        <v>-6.1358018530503607E-2</v>
      </c>
      <c r="O83" s="44">
        <f t="shared" si="47"/>
        <v>-4.6577659237682346E-2</v>
      </c>
    </row>
    <row r="84" spans="2:15" x14ac:dyDescent="0.55000000000000004">
      <c r="B84" t="s">
        <v>261</v>
      </c>
      <c r="F84" s="2">
        <f>SUM(F82:F83)</f>
        <v>0.7288461538461537</v>
      </c>
      <c r="G84" s="2">
        <f t="shared" ref="G84:O84" si="48">SUM(G82:G83)</f>
        <v>0.42010651372388358</v>
      </c>
      <c r="H84" s="2">
        <f t="shared" si="48"/>
        <v>0.34048460253043694</v>
      </c>
      <c r="I84" s="2">
        <f t="shared" si="48"/>
        <v>0.20206905724000229</v>
      </c>
      <c r="J84" s="2">
        <f t="shared" si="48"/>
        <v>0.20703324023576627</v>
      </c>
      <c r="K84" s="2">
        <f t="shared" si="48"/>
        <v>0.15823730477385728</v>
      </c>
      <c r="L84" s="2">
        <f t="shared" si="48"/>
        <v>0.13474083428573966</v>
      </c>
      <c r="M84" s="2">
        <f t="shared" si="48"/>
        <v>8.7419707565674742E-2</v>
      </c>
      <c r="N84" s="2">
        <f t="shared" si="48"/>
        <v>8.8641981469496395E-2</v>
      </c>
      <c r="O84" s="2">
        <f t="shared" si="48"/>
        <v>0.10342234076231765</v>
      </c>
    </row>
    <row r="85" spans="2:15" x14ac:dyDescent="0.55000000000000004">
      <c r="D85" s="12"/>
      <c r="E85" s="2"/>
      <c r="F85" s="10"/>
      <c r="G85" s="10"/>
      <c r="H85" s="10"/>
      <c r="I85" s="10"/>
      <c r="J85" s="10"/>
      <c r="K85" s="10"/>
      <c r="L85" s="10"/>
      <c r="M85" s="10"/>
      <c r="N85" s="10"/>
      <c r="O85" s="10"/>
    </row>
    <row r="86" spans="2:15" x14ac:dyDescent="0.55000000000000004">
      <c r="B86" s="7" t="s">
        <v>286</v>
      </c>
      <c r="C86" s="7"/>
    </row>
    <row r="87" spans="2:15" x14ac:dyDescent="0.55000000000000004">
      <c r="B87" s="10" t="s">
        <v>52</v>
      </c>
      <c r="C87" s="22"/>
      <c r="D87" s="102">
        <f>D98/(D43*1000)</f>
        <v>4.2735042735042736E-2</v>
      </c>
      <c r="E87" s="102">
        <f>E98/(E43*1000)</f>
        <v>5.0387596899224806E-2</v>
      </c>
      <c r="F87" s="102">
        <f>F98/(F43*1000)</f>
        <v>4.035377748388163E-2</v>
      </c>
      <c r="G87" s="102">
        <f>G98/(G43*1000)</f>
        <v>3.9642282577836661E-2</v>
      </c>
      <c r="H87" s="102">
        <f>H98/(H43*1000)</f>
        <v>3.679357357017593E-2</v>
      </c>
      <c r="I87" s="102">
        <f t="shared" ref="I87:O87" si="49">I98/(I43*1000)</f>
        <v>3.0715900215466614E-2</v>
      </c>
      <c r="J87" s="102">
        <f t="shared" si="49"/>
        <v>2.7891247714345532E-2</v>
      </c>
      <c r="K87" s="102">
        <f t="shared" si="49"/>
        <v>2.70272702986314E-2</v>
      </c>
      <c r="L87" s="102">
        <f t="shared" si="49"/>
        <v>2.5945889463882196E-2</v>
      </c>
      <c r="M87" s="102">
        <f t="shared" si="49"/>
        <v>2.5168882638464812E-2</v>
      </c>
      <c r="N87" s="102">
        <f t="shared" si="49"/>
        <v>2.4188868392877039E-2</v>
      </c>
      <c r="O87" s="102">
        <f t="shared" si="49"/>
        <v>2.3475550027889487E-2</v>
      </c>
    </row>
    <row r="88" spans="2:15" x14ac:dyDescent="0.55000000000000004">
      <c r="B88" t="s">
        <v>53</v>
      </c>
      <c r="C88" s="7"/>
      <c r="D88" s="137">
        <f t="shared" ref="D88:O88" si="50">(D95-D186)/(D43*1000)</f>
        <v>2.6186480186480184E-2</v>
      </c>
      <c r="E88" s="137">
        <f t="shared" si="50"/>
        <v>2.9889050387596899E-2</v>
      </c>
      <c r="F88" s="137">
        <f t="shared" si="50"/>
        <v>2.2238055877004458E-2</v>
      </c>
      <c r="G88" s="137">
        <f t="shared" si="50"/>
        <v>1.9797009558058101E-2</v>
      </c>
      <c r="H88" s="137">
        <f t="shared" si="50"/>
        <v>1.6121400690162355E-2</v>
      </c>
      <c r="I88" s="137">
        <f t="shared" si="50"/>
        <v>1.3155982759261067E-2</v>
      </c>
      <c r="J88" s="137">
        <f t="shared" si="50"/>
        <v>1.2220774894124783E-2</v>
      </c>
      <c r="K88" s="137">
        <f t="shared" si="50"/>
        <v>1.1842216228725982E-2</v>
      </c>
      <c r="L88" s="137">
        <f t="shared" si="50"/>
        <v>1.13684005037488E-2</v>
      </c>
      <c r="M88" s="137">
        <f t="shared" si="50"/>
        <v>1.1027948703174084E-2</v>
      </c>
      <c r="N88" s="137">
        <f t="shared" si="50"/>
        <v>1.0598547565906075E-2</v>
      </c>
      <c r="O88" s="137">
        <f t="shared" si="50"/>
        <v>1.0286001377379903E-2</v>
      </c>
    </row>
    <row r="89" spans="2:15" x14ac:dyDescent="0.55000000000000004">
      <c r="C89" s="7"/>
      <c r="D89" s="3"/>
      <c r="E89" s="3"/>
      <c r="F89" s="3"/>
      <c r="G89" s="3"/>
      <c r="H89" s="3"/>
      <c r="I89" s="3"/>
      <c r="J89" s="3"/>
      <c r="K89" s="3"/>
      <c r="L89" s="3"/>
      <c r="M89" s="3"/>
      <c r="N89" s="3"/>
      <c r="O89" s="3"/>
    </row>
    <row r="90" spans="2:15" x14ac:dyDescent="0.55000000000000004">
      <c r="B90" s="55" t="s">
        <v>287</v>
      </c>
      <c r="E90" s="13"/>
      <c r="F90" s="10"/>
      <c r="G90" s="10"/>
      <c r="H90" s="10"/>
      <c r="I90" s="10"/>
      <c r="J90" s="10"/>
      <c r="K90" s="10"/>
      <c r="L90" s="10"/>
      <c r="M90" s="10"/>
      <c r="N90" s="10"/>
      <c r="O90" s="10"/>
    </row>
    <row r="91" spans="2:15" x14ac:dyDescent="0.55000000000000004">
      <c r="B91" s="56" t="s">
        <v>52</v>
      </c>
      <c r="D91" s="57">
        <f t="shared" ref="D91:O91" si="51">D98/(D43*1000)</f>
        <v>4.2735042735042736E-2</v>
      </c>
      <c r="E91" s="57">
        <f t="shared" si="51"/>
        <v>5.0387596899224806E-2</v>
      </c>
      <c r="F91" s="57">
        <f t="shared" si="51"/>
        <v>4.035377748388163E-2</v>
      </c>
      <c r="G91" s="57">
        <f t="shared" si="51"/>
        <v>3.9642282577836661E-2</v>
      </c>
      <c r="H91" s="57">
        <f t="shared" si="51"/>
        <v>3.679357357017593E-2</v>
      </c>
      <c r="I91" s="57">
        <f t="shared" si="51"/>
        <v>3.0715900215466614E-2</v>
      </c>
      <c r="J91" s="57">
        <f t="shared" si="51"/>
        <v>2.7891247714345532E-2</v>
      </c>
      <c r="K91" s="57">
        <f t="shared" si="51"/>
        <v>2.70272702986314E-2</v>
      </c>
      <c r="L91" s="57">
        <f t="shared" si="51"/>
        <v>2.5945889463882196E-2</v>
      </c>
      <c r="M91" s="57">
        <f t="shared" si="51"/>
        <v>2.5168882638464812E-2</v>
      </c>
      <c r="N91" s="57">
        <f t="shared" si="51"/>
        <v>2.4188868392877039E-2</v>
      </c>
      <c r="O91" s="57">
        <f t="shared" si="51"/>
        <v>2.3475550027889487E-2</v>
      </c>
    </row>
    <row r="92" spans="2:15" x14ac:dyDescent="0.55000000000000004">
      <c r="B92" s="56" t="s">
        <v>53</v>
      </c>
      <c r="D92" s="57">
        <f t="shared" ref="D92:O92" si="52">D191/(D43*1000)</f>
        <v>2.8480186480186478E-2</v>
      </c>
      <c r="E92" s="57">
        <f t="shared" si="52"/>
        <v>3.0205910852713177E-2</v>
      </c>
      <c r="F92" s="57">
        <f t="shared" si="52"/>
        <v>2.2619275913374114E-2</v>
      </c>
      <c r="G92" s="57">
        <f t="shared" si="52"/>
        <v>2.0126525977098512E-2</v>
      </c>
      <c r="H92" s="57">
        <f t="shared" si="52"/>
        <v>1.6687107540872319E-2</v>
      </c>
      <c r="I92" s="57">
        <f t="shared" si="52"/>
        <v>1.362824444769075E-2</v>
      </c>
      <c r="J92" s="57">
        <f t="shared" si="52"/>
        <v>1.2649607116055065E-2</v>
      </c>
      <c r="K92" s="57">
        <f t="shared" si="52"/>
        <v>1.2257764665051801E-2</v>
      </c>
      <c r="L92" s="57">
        <f t="shared" si="52"/>
        <v>1.1767322543476387E-2</v>
      </c>
      <c r="M92" s="57">
        <f t="shared" si="52"/>
        <v>1.1414924143494884E-2</v>
      </c>
      <c r="N92" s="57">
        <f t="shared" si="52"/>
        <v>1.0970455136522266E-2</v>
      </c>
      <c r="O92" s="57">
        <f t="shared" si="52"/>
        <v>1.0646941568460615E-2</v>
      </c>
    </row>
    <row r="93" spans="2:15" x14ac:dyDescent="0.55000000000000004">
      <c r="D93" s="11"/>
      <c r="E93" s="13"/>
      <c r="F93" s="10"/>
      <c r="G93" s="10"/>
      <c r="H93" s="10"/>
      <c r="I93" s="10"/>
      <c r="J93" s="10"/>
      <c r="K93" s="10"/>
      <c r="L93" s="10"/>
      <c r="M93" s="10"/>
      <c r="N93" s="10"/>
      <c r="O93" s="10"/>
    </row>
    <row r="94" spans="2:15" x14ac:dyDescent="0.55000000000000004">
      <c r="B94" s="1" t="s">
        <v>120</v>
      </c>
      <c r="C94" s="1"/>
      <c r="D94" s="1">
        <f t="shared" ref="D94:O94" si="53">D2</f>
        <v>2019</v>
      </c>
      <c r="E94" s="1">
        <f t="shared" si="53"/>
        <v>2020</v>
      </c>
      <c r="F94" s="1">
        <f t="shared" si="53"/>
        <v>2021</v>
      </c>
      <c r="G94" s="1">
        <f t="shared" si="53"/>
        <v>2022</v>
      </c>
      <c r="H94" s="1">
        <f t="shared" si="53"/>
        <v>2023</v>
      </c>
      <c r="I94" s="1">
        <f t="shared" si="53"/>
        <v>2024</v>
      </c>
      <c r="J94" s="1">
        <f t="shared" si="53"/>
        <v>2025</v>
      </c>
      <c r="K94" s="1">
        <f t="shared" si="53"/>
        <v>2026</v>
      </c>
      <c r="L94" s="1">
        <f t="shared" si="53"/>
        <v>2027</v>
      </c>
      <c r="M94" s="1">
        <f t="shared" si="53"/>
        <v>2028</v>
      </c>
      <c r="N94" s="1">
        <f t="shared" si="53"/>
        <v>2029</v>
      </c>
      <c r="O94" s="1">
        <f t="shared" si="53"/>
        <v>2030</v>
      </c>
    </row>
    <row r="95" spans="2:15" x14ac:dyDescent="0.55000000000000004">
      <c r="B95" t="s">
        <v>62</v>
      </c>
      <c r="D95" s="26">
        <v>52.048000000000002</v>
      </c>
      <c r="E95" s="9">
        <f>E98-E97</f>
        <v>103.346</v>
      </c>
      <c r="F95" s="9">
        <f>F98-F97</f>
        <v>241.79399999999998</v>
      </c>
      <c r="G95" s="9">
        <f>G98-G97</f>
        <v>415.41799999999995</v>
      </c>
      <c r="H95" s="9">
        <f>H98-H97</f>
        <v>640.4</v>
      </c>
      <c r="I95" s="9">
        <f>I98-I97</f>
        <v>782.6130242564974</v>
      </c>
      <c r="J95" s="9">
        <f t="shared" ref="J95:O95" si="54">J98-J97</f>
        <v>983.7705857318573</v>
      </c>
      <c r="K95" s="9">
        <f t="shared" si="54"/>
        <v>1237.816850307051</v>
      </c>
      <c r="L95" s="9">
        <f t="shared" si="54"/>
        <v>1516.0048419380041</v>
      </c>
      <c r="M95" s="9">
        <f t="shared" si="54"/>
        <v>1769.8139292434118</v>
      </c>
      <c r="N95" s="9">
        <f t="shared" si="54"/>
        <v>2015.1844392260334</v>
      </c>
      <c r="O95" s="9">
        <f t="shared" si="54"/>
        <v>2304.2069085676294</v>
      </c>
    </row>
    <row r="97" spans="2:16" x14ac:dyDescent="0.55000000000000004">
      <c r="B97" s="14" t="s">
        <v>63</v>
      </c>
      <c r="C97" s="14"/>
      <c r="D97" s="18">
        <f>D98-D95</f>
        <v>2.9519999999999982</v>
      </c>
      <c r="E97" s="255">
        <v>0.65400000000000003</v>
      </c>
      <c r="F97" s="255">
        <v>2.306</v>
      </c>
      <c r="G97" s="255">
        <v>3.4820000000000002</v>
      </c>
      <c r="H97" s="29">
        <v>10</v>
      </c>
      <c r="I97" s="18">
        <f>H97/H98*I98</f>
        <v>12.220690572400022</v>
      </c>
      <c r="J97" s="18">
        <f t="shared" ref="J97:O97" si="55">I97/I98*J98</f>
        <v>15.36181426814268</v>
      </c>
      <c r="K97" s="18">
        <f t="shared" si="55"/>
        <v>19.32880778118443</v>
      </c>
      <c r="L97" s="18">
        <f t="shared" si="55"/>
        <v>23.672780167676514</v>
      </c>
      <c r="M97" s="18">
        <f t="shared" si="55"/>
        <v>27.63607010061542</v>
      </c>
      <c r="N97" s="18">
        <f t="shared" si="55"/>
        <v>31.467589619394648</v>
      </c>
      <c r="O97" s="18">
        <f t="shared" si="55"/>
        <v>35.980744980756235</v>
      </c>
    </row>
    <row r="98" spans="2:16" ht="14.7" thickBot="1" x14ac:dyDescent="0.6">
      <c r="B98" s="30" t="s">
        <v>130</v>
      </c>
      <c r="C98" s="30"/>
      <c r="D98" s="45">
        <f>Notes!C6</f>
        <v>55</v>
      </c>
      <c r="E98" s="45">
        <f>Notes!D6</f>
        <v>104</v>
      </c>
      <c r="F98" s="45">
        <v>244.1</v>
      </c>
      <c r="G98" s="45">
        <v>418.9</v>
      </c>
      <c r="H98" s="45">
        <v>650.4</v>
      </c>
      <c r="I98" s="46">
        <f t="shared" ref="I98:O98" si="56">I132+I151</f>
        <v>794.83371482889743</v>
      </c>
      <c r="J98" s="46">
        <f t="shared" si="56"/>
        <v>999.13239999999996</v>
      </c>
      <c r="K98" s="46">
        <f t="shared" si="56"/>
        <v>1257.1456580882355</v>
      </c>
      <c r="L98" s="46">
        <f t="shared" si="56"/>
        <v>1539.6776221056807</v>
      </c>
      <c r="M98" s="46">
        <f t="shared" si="56"/>
        <v>1797.4499993440272</v>
      </c>
      <c r="N98" s="46">
        <f t="shared" si="56"/>
        <v>2046.652028845428</v>
      </c>
      <c r="O98" s="46">
        <f t="shared" si="56"/>
        <v>2340.1876535483857</v>
      </c>
      <c r="P98" s="2">
        <f>(H98/F98)^(1/2)-1</f>
        <v>0.63232403945003801</v>
      </c>
    </row>
    <row r="99" spans="2:16" ht="14.7" thickTop="1" x14ac:dyDescent="0.55000000000000004">
      <c r="B99" t="s">
        <v>129</v>
      </c>
      <c r="E99" s="2">
        <f t="shared" ref="E99:O99" si="57">E98/D98-1</f>
        <v>0.89090909090909087</v>
      </c>
      <c r="F99" s="2">
        <f t="shared" si="57"/>
        <v>1.3471153846153845</v>
      </c>
      <c r="G99" s="2">
        <f t="shared" si="57"/>
        <v>0.71609995903318313</v>
      </c>
      <c r="H99" s="2">
        <f t="shared" si="57"/>
        <v>0.55263786106469337</v>
      </c>
      <c r="I99" s="2">
        <f t="shared" si="57"/>
        <v>0.22206905724000214</v>
      </c>
      <c r="J99" s="2">
        <f t="shared" si="57"/>
        <v>0.25703324023576624</v>
      </c>
      <c r="K99" s="2">
        <f t="shared" si="57"/>
        <v>0.25823730477385731</v>
      </c>
      <c r="L99" s="2">
        <f t="shared" si="57"/>
        <v>0.22474083428573977</v>
      </c>
      <c r="M99" s="2">
        <f t="shared" si="57"/>
        <v>0.1674197075656747</v>
      </c>
      <c r="N99" s="2">
        <f t="shared" si="57"/>
        <v>0.13864198146949636</v>
      </c>
      <c r="O99" s="2">
        <f t="shared" si="57"/>
        <v>0.14342234076231763</v>
      </c>
    </row>
    <row r="100" spans="2:16" x14ac:dyDescent="0.55000000000000004">
      <c r="E100" s="2"/>
      <c r="F100" s="2"/>
      <c r="G100" s="2"/>
      <c r="H100" s="2"/>
      <c r="I100" s="2"/>
      <c r="J100" s="2"/>
      <c r="K100" s="2"/>
      <c r="L100" s="2"/>
      <c r="M100" s="2"/>
      <c r="N100" s="2"/>
      <c r="O100" s="2"/>
    </row>
    <row r="101" spans="2:16" x14ac:dyDescent="0.55000000000000004">
      <c r="B101" s="22" t="s">
        <v>1612</v>
      </c>
      <c r="E101" s="2"/>
      <c r="F101" s="2"/>
      <c r="G101" s="1">
        <f>G94</f>
        <v>2022</v>
      </c>
      <c r="H101" s="1">
        <f t="shared" ref="H101:O101" si="58">H94</f>
        <v>2023</v>
      </c>
      <c r="I101" s="1">
        <f t="shared" si="58"/>
        <v>2024</v>
      </c>
      <c r="J101" s="1">
        <f t="shared" si="58"/>
        <v>2025</v>
      </c>
      <c r="K101" s="1">
        <f t="shared" si="58"/>
        <v>2026</v>
      </c>
      <c r="L101" s="1">
        <f t="shared" si="58"/>
        <v>2027</v>
      </c>
      <c r="M101" s="1">
        <f t="shared" si="58"/>
        <v>2028</v>
      </c>
      <c r="N101" s="1">
        <f t="shared" si="58"/>
        <v>2029</v>
      </c>
      <c r="O101" s="1">
        <f t="shared" si="58"/>
        <v>2030</v>
      </c>
    </row>
    <row r="102" spans="2:16" x14ac:dyDescent="0.55000000000000004">
      <c r="B102" t="s">
        <v>2010</v>
      </c>
      <c r="E102" s="2"/>
      <c r="F102" s="2"/>
      <c r="G102" s="26">
        <f>SUM(Quarts!O24:R24)</f>
        <v>84</v>
      </c>
      <c r="H102" s="26">
        <f>Quarts!S24+Quarts!T24+Quarts!U24+Quarts!V24</f>
        <v>158.9</v>
      </c>
      <c r="I102" s="9">
        <f>I109/I107</f>
        <v>227.47471482889736</v>
      </c>
      <c r="J102" s="9">
        <f t="shared" ref="J102:O102" si="59">J109/J107</f>
        <v>299.12925000000001</v>
      </c>
      <c r="K102" s="9">
        <f t="shared" si="59"/>
        <v>381.24316176470592</v>
      </c>
      <c r="L102" s="9">
        <f t="shared" si="59"/>
        <v>467.20975706459063</v>
      </c>
      <c r="M102" s="9">
        <f t="shared" si="59"/>
        <v>526.75609865125409</v>
      </c>
      <c r="N102" s="9">
        <f t="shared" si="59"/>
        <v>568.0703024670388</v>
      </c>
      <c r="O102" s="9">
        <f t="shared" si="59"/>
        <v>612.62483599386542</v>
      </c>
    </row>
    <row r="103" spans="2:16" x14ac:dyDescent="0.55000000000000004">
      <c r="B103" t="s">
        <v>129</v>
      </c>
      <c r="E103" s="2"/>
      <c r="F103" s="2"/>
      <c r="G103" s="2"/>
      <c r="H103" s="2">
        <f>H102/G102-1</f>
        <v>0.89166666666666683</v>
      </c>
      <c r="I103" s="2">
        <f t="shared" ref="I103:O103" si="60">I102/H102-1</f>
        <v>0.43155893536121681</v>
      </c>
      <c r="J103" s="2">
        <f t="shared" si="60"/>
        <v>0.31499999999999995</v>
      </c>
      <c r="K103" s="2">
        <f t="shared" si="60"/>
        <v>0.27450980392156876</v>
      </c>
      <c r="L103" s="2">
        <f t="shared" si="60"/>
        <v>0.22549019607843146</v>
      </c>
      <c r="M103" s="2">
        <f t="shared" si="60"/>
        <v>0.12745098039215685</v>
      </c>
      <c r="N103" s="2">
        <f t="shared" si="60"/>
        <v>7.8431372549019773E-2</v>
      </c>
      <c r="O103" s="2">
        <f t="shared" si="60"/>
        <v>7.8431372549019773E-2</v>
      </c>
    </row>
    <row r="104" spans="2:16" x14ac:dyDescent="0.55000000000000004">
      <c r="B104" t="s">
        <v>105</v>
      </c>
      <c r="E104" s="2"/>
      <c r="F104" s="2"/>
      <c r="G104" s="2"/>
      <c r="H104" s="26">
        <f>Quarts!S68+Quarts!T68+Quarts!U68+Quarts!V68</f>
        <v>78.8</v>
      </c>
      <c r="I104" s="391">
        <f>I105*I102</f>
        <v>95.539380228136892</v>
      </c>
      <c r="J104" s="391">
        <f t="shared" ref="J104:O104" si="61">J105*J102</f>
        <v>131.61687000000001</v>
      </c>
      <c r="K104" s="391">
        <f t="shared" si="61"/>
        <v>167.7469911764706</v>
      </c>
      <c r="L104" s="391">
        <f t="shared" si="61"/>
        <v>200.90019553777398</v>
      </c>
      <c r="M104" s="391">
        <f t="shared" si="61"/>
        <v>226.50512242003924</v>
      </c>
      <c r="N104" s="391">
        <f t="shared" si="61"/>
        <v>244.27023006082669</v>
      </c>
      <c r="O104" s="391">
        <f t="shared" si="61"/>
        <v>263.42867947736215</v>
      </c>
    </row>
    <row r="105" spans="2:16" x14ac:dyDescent="0.55000000000000004">
      <c r="B105" t="s">
        <v>610</v>
      </c>
      <c r="E105" s="2"/>
      <c r="F105" s="2"/>
      <c r="G105" s="9"/>
      <c r="H105" s="2">
        <f>H104/H102</f>
        <v>0.49590937696664567</v>
      </c>
      <c r="I105" s="19">
        <v>0.42</v>
      </c>
      <c r="J105" s="19">
        <v>0.44</v>
      </c>
      <c r="K105" s="19">
        <v>0.44</v>
      </c>
      <c r="L105" s="19">
        <f>K105-1%</f>
        <v>0.43</v>
      </c>
      <c r="M105" s="19">
        <f>L105</f>
        <v>0.43</v>
      </c>
      <c r="N105" s="19">
        <f>M105</f>
        <v>0.43</v>
      </c>
      <c r="O105" s="19">
        <f>N105</f>
        <v>0.43</v>
      </c>
    </row>
    <row r="106" spans="2:16" x14ac:dyDescent="0.55000000000000004">
      <c r="E106" s="2"/>
      <c r="F106" s="2"/>
      <c r="G106" s="9"/>
      <c r="H106" s="2"/>
      <c r="I106" s="19"/>
      <c r="J106" s="19"/>
      <c r="K106" s="19"/>
      <c r="L106" s="19"/>
      <c r="M106" s="19"/>
      <c r="N106" s="19"/>
      <c r="O106" s="19"/>
    </row>
    <row r="107" spans="2:16" x14ac:dyDescent="0.55000000000000004">
      <c r="B107" t="s">
        <v>1623</v>
      </c>
      <c r="E107" s="2"/>
      <c r="F107" s="2"/>
      <c r="G107" s="299">
        <v>5.16</v>
      </c>
      <c r="H107" s="299">
        <v>5.0199999999999996</v>
      </c>
      <c r="I107" s="300">
        <v>5.26</v>
      </c>
      <c r="J107" s="300">
        <v>5.6</v>
      </c>
      <c r="K107" s="300">
        <f t="shared" ref="K107:O107" si="62">J107*1.02</f>
        <v>5.7119999999999997</v>
      </c>
      <c r="L107" s="300">
        <f t="shared" si="62"/>
        <v>5.8262399999999994</v>
      </c>
      <c r="M107" s="300">
        <f t="shared" si="62"/>
        <v>5.9427647999999991</v>
      </c>
      <c r="N107" s="300">
        <f t="shared" si="62"/>
        <v>6.0616200959999995</v>
      </c>
      <c r="O107" s="300">
        <f t="shared" si="62"/>
        <v>6.1828524979199999</v>
      </c>
    </row>
    <row r="108" spans="2:16" x14ac:dyDescent="0.55000000000000004">
      <c r="B108" t="s">
        <v>129</v>
      </c>
      <c r="E108" s="2"/>
      <c r="F108" s="2"/>
      <c r="G108" s="2"/>
      <c r="H108" s="2">
        <f>H107/G107-1</f>
        <v>-2.7131782945736593E-2</v>
      </c>
      <c r="I108" s="2">
        <f t="shared" ref="I108:O108" si="63">I107/H107-1</f>
        <v>4.7808764940239001E-2</v>
      </c>
      <c r="J108" s="2">
        <f t="shared" si="63"/>
        <v>6.4638783269961975E-2</v>
      </c>
      <c r="K108" s="2">
        <f t="shared" si="63"/>
        <v>2.0000000000000018E-2</v>
      </c>
      <c r="L108" s="2">
        <f t="shared" si="63"/>
        <v>2.0000000000000018E-2</v>
      </c>
      <c r="M108" s="2">
        <f t="shared" si="63"/>
        <v>2.0000000000000018E-2</v>
      </c>
      <c r="N108" s="2">
        <f t="shared" si="63"/>
        <v>2.0000000000000018E-2</v>
      </c>
      <c r="O108" s="2">
        <f t="shared" si="63"/>
        <v>2.0000000000000018E-2</v>
      </c>
    </row>
    <row r="109" spans="2:16" x14ac:dyDescent="0.55000000000000004">
      <c r="B109" t="s">
        <v>1613</v>
      </c>
      <c r="E109" s="2"/>
      <c r="F109" s="2"/>
      <c r="G109" s="9">
        <f>G102*G107</f>
        <v>433.44</v>
      </c>
      <c r="H109" s="9">
        <f>H102*H107</f>
        <v>797.678</v>
      </c>
      <c r="I109" s="9">
        <f>(1+I110)*H109</f>
        <v>1196.5170000000001</v>
      </c>
      <c r="J109" s="9">
        <f t="shared" ref="J109:O109" si="64">(1+J110)*I109</f>
        <v>1675.1238000000001</v>
      </c>
      <c r="K109" s="9">
        <f t="shared" si="64"/>
        <v>2177.6609400000002</v>
      </c>
      <c r="L109" s="9">
        <f t="shared" si="64"/>
        <v>2722.0761750000001</v>
      </c>
      <c r="M109" s="9">
        <f t="shared" si="64"/>
        <v>3130.38760125</v>
      </c>
      <c r="N109" s="9">
        <f t="shared" si="64"/>
        <v>3443.4263613750004</v>
      </c>
      <c r="O109" s="9">
        <f t="shared" si="64"/>
        <v>3787.7689975125008</v>
      </c>
    </row>
    <row r="110" spans="2:16" x14ac:dyDescent="0.55000000000000004">
      <c r="B110" t="s">
        <v>956</v>
      </c>
      <c r="E110" s="2"/>
      <c r="F110" s="2"/>
      <c r="G110" s="9"/>
      <c r="H110" s="2">
        <f>H109/G109-1</f>
        <v>0.84034237726098193</v>
      </c>
      <c r="I110" s="19">
        <v>0.5</v>
      </c>
      <c r="J110" s="19">
        <v>0.4</v>
      </c>
      <c r="K110" s="19">
        <v>0.3</v>
      </c>
      <c r="L110" s="19">
        <v>0.25</v>
      </c>
      <c r="M110" s="19">
        <v>0.15</v>
      </c>
      <c r="N110" s="19">
        <v>0.1</v>
      </c>
      <c r="O110" s="19">
        <v>0.1</v>
      </c>
    </row>
    <row r="111" spans="2:16" x14ac:dyDescent="0.55000000000000004">
      <c r="E111" s="2"/>
      <c r="F111" s="2"/>
      <c r="G111" s="2"/>
      <c r="I111" s="2"/>
      <c r="J111" s="2"/>
      <c r="K111" s="2"/>
      <c r="L111" s="2"/>
      <c r="M111" s="2"/>
      <c r="N111" s="2"/>
      <c r="O111" s="2"/>
    </row>
    <row r="112" spans="2:16" x14ac:dyDescent="0.55000000000000004">
      <c r="B112" t="s">
        <v>2011</v>
      </c>
      <c r="E112" s="2"/>
      <c r="F112" s="2"/>
      <c r="G112" s="26">
        <f>Quarts!O25+Quarts!P25+Quarts!Q25+Quarts!R25</f>
        <v>77.599999999999994</v>
      </c>
      <c r="H112" s="26">
        <v>75.099999999999994</v>
      </c>
      <c r="I112" s="26">
        <v>64</v>
      </c>
      <c r="J112" s="134">
        <f>I112*1.18</f>
        <v>75.52</v>
      </c>
      <c r="K112" s="134">
        <f t="shared" ref="K112:O112" si="65">J112*1.05</f>
        <v>79.295999999999992</v>
      </c>
      <c r="L112" s="134">
        <f t="shared" si="65"/>
        <v>83.260799999999989</v>
      </c>
      <c r="M112" s="134">
        <f t="shared" si="65"/>
        <v>87.423839999999998</v>
      </c>
      <c r="N112" s="134">
        <f t="shared" si="65"/>
        <v>91.795032000000006</v>
      </c>
      <c r="O112" s="134">
        <f t="shared" si="65"/>
        <v>96.384783600000006</v>
      </c>
    </row>
    <row r="113" spans="2:16" x14ac:dyDescent="0.55000000000000004">
      <c r="E113" s="2"/>
      <c r="F113" s="2"/>
      <c r="G113" s="2"/>
      <c r="H113" s="2"/>
      <c r="I113" s="2"/>
      <c r="J113" s="2"/>
      <c r="K113" s="2"/>
      <c r="L113" s="2"/>
      <c r="M113" s="2"/>
      <c r="N113" s="2"/>
      <c r="O113" s="2"/>
      <c r="P113" s="2"/>
    </row>
    <row r="114" spans="2:16" x14ac:dyDescent="0.55000000000000004">
      <c r="B114" t="s">
        <v>105</v>
      </c>
      <c r="E114" s="2"/>
      <c r="F114" s="2"/>
      <c r="G114" s="9"/>
      <c r="H114" s="26">
        <f>Quarts!S69+Quarts!T69+Quarts!U69+Quarts!V69</f>
        <v>48.7</v>
      </c>
      <c r="I114" s="391">
        <f>I115*I112</f>
        <v>25.6</v>
      </c>
      <c r="J114" s="391">
        <f t="shared" ref="J114" si="66">J115*J112</f>
        <v>29.4528</v>
      </c>
      <c r="K114" s="391">
        <f t="shared" ref="K114" si="67">K115*K112</f>
        <v>30.925439999999998</v>
      </c>
      <c r="L114" s="391">
        <f t="shared" ref="L114" si="68">L115*L112</f>
        <v>32.471711999999997</v>
      </c>
      <c r="M114" s="391">
        <f t="shared" ref="M114" si="69">M115*M112</f>
        <v>34.095297600000002</v>
      </c>
      <c r="N114" s="391">
        <f t="shared" ref="N114" si="70">N115*N112</f>
        <v>35.800062480000001</v>
      </c>
      <c r="O114" s="391">
        <f t="shared" ref="O114" si="71">O115*O112</f>
        <v>37.590065604000003</v>
      </c>
    </row>
    <row r="115" spans="2:16" x14ac:dyDescent="0.55000000000000004">
      <c r="B115" t="s">
        <v>610</v>
      </c>
      <c r="E115" s="2"/>
      <c r="F115" s="2"/>
      <c r="G115" s="134"/>
      <c r="H115" s="2">
        <f>H114/H112</f>
        <v>0.64846870838881498</v>
      </c>
      <c r="I115" s="19">
        <v>0.4</v>
      </c>
      <c r="J115" s="19">
        <v>0.39</v>
      </c>
      <c r="K115" s="19">
        <v>0.39</v>
      </c>
      <c r="L115" s="19">
        <v>0.39</v>
      </c>
      <c r="M115" s="19">
        <v>0.39</v>
      </c>
      <c r="N115" s="19">
        <v>0.39</v>
      </c>
      <c r="O115" s="19">
        <v>0.39</v>
      </c>
    </row>
    <row r="116" spans="2:16" x14ac:dyDescent="0.55000000000000004">
      <c r="E116" s="2"/>
      <c r="F116" s="2"/>
      <c r="G116" s="9"/>
      <c r="I116" s="9"/>
      <c r="J116" s="2"/>
      <c r="K116" s="2"/>
      <c r="L116" s="2"/>
      <c r="M116" s="2"/>
      <c r="N116" s="2"/>
      <c r="O116" s="2"/>
    </row>
    <row r="117" spans="2:16" x14ac:dyDescent="0.55000000000000004">
      <c r="B117" t="s">
        <v>2012</v>
      </c>
      <c r="E117" s="2"/>
      <c r="F117" s="2"/>
      <c r="G117" s="26">
        <f>SUM(Quarts!O26:R26)</f>
        <v>67.900000000000006</v>
      </c>
      <c r="H117" s="26">
        <f>Quarts!S26+Quarts!T26+Quarts!U26+Quarts!V26</f>
        <v>116.80000000000001</v>
      </c>
      <c r="I117" s="9">
        <f>(1+I118)*H117</f>
        <v>155.34400000000002</v>
      </c>
      <c r="J117" s="9">
        <f t="shared" ref="J117:O117" si="72">(1+J118)*I117</f>
        <v>209.71440000000004</v>
      </c>
      <c r="K117" s="9">
        <f t="shared" si="72"/>
        <v>267.28305882352947</v>
      </c>
      <c r="L117" s="9">
        <f t="shared" si="72"/>
        <v>327.55276816609006</v>
      </c>
      <c r="M117" s="9">
        <f t="shared" si="72"/>
        <v>369.29968959902311</v>
      </c>
      <c r="N117" s="9">
        <f t="shared" si="72"/>
        <v>398.26437113620148</v>
      </c>
      <c r="O117" s="9">
        <f t="shared" si="72"/>
        <v>429.50079240178599</v>
      </c>
    </row>
    <row r="118" spans="2:16" x14ac:dyDescent="0.55000000000000004">
      <c r="B118" t="s">
        <v>129</v>
      </c>
      <c r="E118" s="2"/>
      <c r="F118" s="2"/>
      <c r="G118" s="2"/>
      <c r="H118" s="2">
        <f>H117/G117-1</f>
        <v>0.72017673048600894</v>
      </c>
      <c r="I118" s="19">
        <v>0.33</v>
      </c>
      <c r="J118" s="19">
        <v>0.35</v>
      </c>
      <c r="K118" s="19">
        <f>K103</f>
        <v>0.27450980392156876</v>
      </c>
      <c r="L118" s="19">
        <f>L103</f>
        <v>0.22549019607843146</v>
      </c>
      <c r="M118" s="19">
        <f>M103</f>
        <v>0.12745098039215685</v>
      </c>
      <c r="N118" s="19">
        <f>N103</f>
        <v>7.8431372549019773E-2</v>
      </c>
      <c r="O118" s="19">
        <f>O103</f>
        <v>7.8431372549019773E-2</v>
      </c>
    </row>
    <row r="119" spans="2:16" x14ac:dyDescent="0.55000000000000004">
      <c r="B119" t="s">
        <v>105</v>
      </c>
      <c r="E119" s="2"/>
      <c r="F119" s="2"/>
      <c r="G119" s="2"/>
      <c r="H119" s="26">
        <f>Quarts!S70+Quarts!T70+Quarts!U70+Quarts!V70</f>
        <v>34.700000000000003</v>
      </c>
      <c r="I119" s="391">
        <f>I120*I117</f>
        <v>51.263520000000007</v>
      </c>
      <c r="J119" s="391">
        <f t="shared" ref="J119" si="73">J120*J117</f>
        <v>71.302896000000018</v>
      </c>
      <c r="K119" s="391">
        <f t="shared" ref="K119" si="74">K120*K117</f>
        <v>90.876240000000024</v>
      </c>
      <c r="L119" s="391">
        <f t="shared" ref="L119" si="75">L120*L117</f>
        <v>111.36794117647062</v>
      </c>
      <c r="M119" s="391">
        <f t="shared" ref="M119" si="76">M120*M117</f>
        <v>125.56189446366787</v>
      </c>
      <c r="N119" s="391">
        <f t="shared" ref="N119" si="77">N120*N117</f>
        <v>135.40988618630851</v>
      </c>
      <c r="O119" s="391">
        <f t="shared" ref="O119" si="78">O120*O117</f>
        <v>146.03026941660724</v>
      </c>
    </row>
    <row r="120" spans="2:16" x14ac:dyDescent="0.55000000000000004">
      <c r="B120" t="s">
        <v>610</v>
      </c>
      <c r="E120" s="2"/>
      <c r="F120" s="2"/>
      <c r="G120" s="2"/>
      <c r="H120" s="2">
        <f>H119/H117</f>
        <v>0.2970890410958904</v>
      </c>
      <c r="I120" s="19">
        <v>0.33</v>
      </c>
      <c r="J120" s="19">
        <v>0.34</v>
      </c>
      <c r="K120" s="19">
        <v>0.34</v>
      </c>
      <c r="L120" s="19">
        <v>0.34</v>
      </c>
      <c r="M120" s="19">
        <v>0.34</v>
      </c>
      <c r="N120" s="19">
        <v>0.34</v>
      </c>
      <c r="O120" s="19">
        <v>0.34</v>
      </c>
    </row>
    <row r="121" spans="2:16" x14ac:dyDescent="0.55000000000000004">
      <c r="E121" s="2"/>
      <c r="F121" s="2"/>
      <c r="G121" s="2"/>
      <c r="I121" s="2"/>
      <c r="J121" s="2"/>
      <c r="K121" s="2"/>
      <c r="L121" s="2"/>
      <c r="M121" s="2"/>
      <c r="N121" s="2"/>
      <c r="O121" s="2"/>
    </row>
    <row r="122" spans="2:16" x14ac:dyDescent="0.55000000000000004">
      <c r="B122" t="s">
        <v>2024</v>
      </c>
      <c r="E122" s="2"/>
      <c r="F122" s="2"/>
      <c r="G122" s="26">
        <f>SUM(Quarts!O27:R27)</f>
        <v>52.4</v>
      </c>
      <c r="H122" s="26">
        <f>Quarts!S27+Quarts!T27+Quarts!U27+Quarts!V27</f>
        <v>55.699999999999996</v>
      </c>
      <c r="I122" s="134">
        <v>59</v>
      </c>
      <c r="J122" s="134">
        <f>I122*1.25</f>
        <v>73.75</v>
      </c>
      <c r="K122" s="134">
        <f t="shared" ref="K122:O127" si="79">J122*1.25</f>
        <v>92.1875</v>
      </c>
      <c r="L122" s="134">
        <f t="shared" si="79"/>
        <v>115.234375</v>
      </c>
      <c r="M122" s="134">
        <f t="shared" si="79"/>
        <v>144.04296875</v>
      </c>
      <c r="N122" s="134">
        <f t="shared" si="79"/>
        <v>180.0537109375</v>
      </c>
      <c r="O122" s="134">
        <f t="shared" si="79"/>
        <v>225.067138671875</v>
      </c>
    </row>
    <row r="123" spans="2:16" x14ac:dyDescent="0.55000000000000004">
      <c r="E123" s="2"/>
      <c r="F123" s="2"/>
      <c r="G123" s="2"/>
      <c r="H123" s="2"/>
      <c r="I123" s="134"/>
      <c r="J123" s="134"/>
      <c r="K123" s="134"/>
      <c r="L123" s="134"/>
      <c r="M123" s="134"/>
      <c r="N123" s="134"/>
      <c r="O123" s="134"/>
    </row>
    <row r="124" spans="2:16" x14ac:dyDescent="0.55000000000000004">
      <c r="B124" t="s">
        <v>105</v>
      </c>
      <c r="E124" s="2"/>
      <c r="F124" s="2"/>
      <c r="G124" s="2"/>
      <c r="H124" s="26">
        <f>Quarts!S71+Quarts!T71+Quarts!U71+Quarts!V71</f>
        <v>34</v>
      </c>
      <c r="I124" s="391">
        <f>I125*I122</f>
        <v>35.4</v>
      </c>
      <c r="J124" s="391">
        <f t="shared" ref="J124" si="80">J125*J122</f>
        <v>40.5625</v>
      </c>
      <c r="K124" s="391">
        <f t="shared" ref="K124" si="81">K125*K122</f>
        <v>49.78125</v>
      </c>
      <c r="L124" s="391">
        <f t="shared" ref="L124" si="82">L125*L122</f>
        <v>61.07421875</v>
      </c>
      <c r="M124" s="391">
        <f t="shared" ref="M124" si="83">M125*M122</f>
        <v>74.90234375</v>
      </c>
      <c r="N124" s="391">
        <f t="shared" ref="N124" si="84">N125*N122</f>
        <v>91.827392578125</v>
      </c>
      <c r="O124" s="391">
        <f t="shared" ref="O124" si="85">O125*O122</f>
        <v>112.5335693359375</v>
      </c>
    </row>
    <row r="125" spans="2:16" x14ac:dyDescent="0.55000000000000004">
      <c r="B125" t="s">
        <v>610</v>
      </c>
      <c r="E125" s="2"/>
      <c r="F125" s="2"/>
      <c r="G125" s="2"/>
      <c r="H125" s="2">
        <f>H124/H122</f>
        <v>0.61041292639138245</v>
      </c>
      <c r="I125" s="19">
        <v>0.6</v>
      </c>
      <c r="J125" s="19">
        <v>0.55000000000000004</v>
      </c>
      <c r="K125" s="19">
        <f t="shared" ref="K125:O125" si="86">J125-1%</f>
        <v>0.54</v>
      </c>
      <c r="L125" s="19">
        <f t="shared" si="86"/>
        <v>0.53</v>
      </c>
      <c r="M125" s="19">
        <f t="shared" si="86"/>
        <v>0.52</v>
      </c>
      <c r="N125" s="19">
        <f t="shared" si="86"/>
        <v>0.51</v>
      </c>
      <c r="O125" s="19">
        <f t="shared" si="86"/>
        <v>0.5</v>
      </c>
    </row>
    <row r="126" spans="2:16" x14ac:dyDescent="0.55000000000000004">
      <c r="E126" s="2"/>
      <c r="F126" s="2"/>
      <c r="G126" s="2"/>
      <c r="I126" s="134"/>
      <c r="J126" s="134"/>
      <c r="K126" s="134"/>
      <c r="L126" s="134"/>
      <c r="M126" s="134"/>
      <c r="N126" s="134"/>
      <c r="O126" s="134"/>
    </row>
    <row r="127" spans="2:16" x14ac:dyDescent="0.55000000000000004">
      <c r="B127" t="s">
        <v>2013</v>
      </c>
      <c r="E127" s="2"/>
      <c r="F127" s="2"/>
      <c r="G127" s="26">
        <f>SUM(Quarts!O28:R28)</f>
        <v>63.3</v>
      </c>
      <c r="H127" s="26">
        <f>Quarts!S28+Quarts!T28+Quarts!U28+Quarts!V28</f>
        <v>86.1</v>
      </c>
      <c r="I127" s="134">
        <f>H127*1.15</f>
        <v>99.014999999999986</v>
      </c>
      <c r="J127" s="134">
        <f>I127*1.25</f>
        <v>123.76874999999998</v>
      </c>
      <c r="K127" s="134">
        <f t="shared" si="79"/>
        <v>154.71093749999997</v>
      </c>
      <c r="L127" s="134">
        <f t="shared" si="79"/>
        <v>193.38867187499997</v>
      </c>
      <c r="M127" s="134">
        <f t="shared" si="79"/>
        <v>241.73583984374997</v>
      </c>
      <c r="N127" s="134">
        <f t="shared" si="79"/>
        <v>302.16979980468744</v>
      </c>
      <c r="O127" s="134">
        <f t="shared" si="79"/>
        <v>377.71224975585932</v>
      </c>
    </row>
    <row r="128" spans="2:16" x14ac:dyDescent="0.55000000000000004">
      <c r="E128" s="2"/>
      <c r="F128" s="2"/>
      <c r="G128" s="2"/>
      <c r="H128" s="2"/>
      <c r="I128" s="134"/>
      <c r="J128" s="134"/>
      <c r="K128" s="134"/>
      <c r="L128" s="134"/>
      <c r="M128" s="134"/>
      <c r="N128" s="134"/>
      <c r="O128" s="134"/>
    </row>
    <row r="129" spans="2:15" x14ac:dyDescent="0.55000000000000004">
      <c r="B129" t="s">
        <v>105</v>
      </c>
      <c r="E129" s="2"/>
      <c r="F129" s="2"/>
      <c r="G129" s="2"/>
      <c r="H129" s="26">
        <f>Quarts!S72+Quarts!T72+Quarts!U72+Quarts!V72</f>
        <v>32.6</v>
      </c>
      <c r="I129" s="391">
        <f>I130*I127</f>
        <v>38.615849999999995</v>
      </c>
      <c r="J129" s="391">
        <f t="shared" ref="J129" si="87">J130*J127</f>
        <v>48.269812499999993</v>
      </c>
      <c r="K129" s="391">
        <f t="shared" ref="K129" si="88">K130*K127</f>
        <v>60.337265624999993</v>
      </c>
      <c r="L129" s="391">
        <f t="shared" ref="L129" si="89">L130*L127</f>
        <v>75.421582031249997</v>
      </c>
      <c r="M129" s="391">
        <f t="shared" ref="M129" si="90">M130*M127</f>
        <v>94.276977539062486</v>
      </c>
      <c r="N129" s="391">
        <f t="shared" ref="N129" si="91">N130*N127</f>
        <v>117.84622192382811</v>
      </c>
      <c r="O129" s="391">
        <f t="shared" ref="O129" si="92">O130*O127</f>
        <v>147.30777740478513</v>
      </c>
    </row>
    <row r="130" spans="2:15" x14ac:dyDescent="0.55000000000000004">
      <c r="B130" t="s">
        <v>610</v>
      </c>
      <c r="E130" s="2"/>
      <c r="F130" s="2"/>
      <c r="G130" s="2"/>
      <c r="H130" s="2">
        <f>H129/H127</f>
        <v>0.37862950058072015</v>
      </c>
      <c r="I130" s="19">
        <v>0.39</v>
      </c>
      <c r="J130" s="19">
        <v>0.39</v>
      </c>
      <c r="K130" s="19">
        <v>0.39</v>
      </c>
      <c r="L130" s="19">
        <v>0.39</v>
      </c>
      <c r="M130" s="19">
        <v>0.39</v>
      </c>
      <c r="N130" s="19">
        <v>0.39</v>
      </c>
      <c r="O130" s="19">
        <v>0.39</v>
      </c>
    </row>
    <row r="131" spans="2:15" x14ac:dyDescent="0.55000000000000004">
      <c r="E131" s="2"/>
      <c r="F131" s="2"/>
      <c r="G131" s="2"/>
      <c r="H131" s="2"/>
      <c r="I131" s="134"/>
      <c r="J131" s="134"/>
      <c r="K131" s="134"/>
      <c r="L131" s="134"/>
      <c r="M131" s="134"/>
      <c r="N131" s="134"/>
      <c r="O131" s="134"/>
    </row>
    <row r="132" spans="2:15" x14ac:dyDescent="0.55000000000000004">
      <c r="B132" s="10" t="s">
        <v>2014</v>
      </c>
      <c r="C132" s="10"/>
      <c r="D132" s="10"/>
      <c r="E132" s="344"/>
      <c r="F132" s="344"/>
      <c r="G132" s="347">
        <f t="shared" ref="G132:O132" si="93">G102+G112+G117+G122+G127</f>
        <v>345.2</v>
      </c>
      <c r="H132" s="347">
        <f t="shared" si="93"/>
        <v>492.6</v>
      </c>
      <c r="I132" s="347">
        <f t="shared" si="93"/>
        <v>604.83371482889743</v>
      </c>
      <c r="J132" s="347">
        <f t="shared" si="93"/>
        <v>781.88239999999996</v>
      </c>
      <c r="K132" s="347">
        <f t="shared" si="93"/>
        <v>974.72065808823538</v>
      </c>
      <c r="L132" s="347">
        <f t="shared" si="93"/>
        <v>1186.6463721056807</v>
      </c>
      <c r="M132" s="347">
        <f t="shared" si="93"/>
        <v>1369.2584368440273</v>
      </c>
      <c r="N132" s="347">
        <f t="shared" si="93"/>
        <v>1540.3532163454279</v>
      </c>
      <c r="O132" s="347">
        <f t="shared" si="93"/>
        <v>1741.2898004233857</v>
      </c>
    </row>
    <row r="133" spans="2:15" x14ac:dyDescent="0.55000000000000004">
      <c r="B133" s="10" t="s">
        <v>2015</v>
      </c>
      <c r="C133" s="10"/>
      <c r="D133" s="10"/>
      <c r="E133" s="344"/>
      <c r="F133" s="344"/>
      <c r="G133" s="344"/>
      <c r="H133" s="347">
        <f t="shared" ref="H133:O133" si="94">H104+H114+H119+H124+H129</f>
        <v>228.79999999999998</v>
      </c>
      <c r="I133" s="347">
        <f t="shared" si="94"/>
        <v>246.4187502281369</v>
      </c>
      <c r="J133" s="347">
        <f t="shared" si="94"/>
        <v>321.20487850000001</v>
      </c>
      <c r="K133" s="347">
        <f t="shared" si="94"/>
        <v>399.66718680147062</v>
      </c>
      <c r="L133" s="347">
        <f t="shared" si="94"/>
        <v>481.23564949549461</v>
      </c>
      <c r="M133" s="347">
        <f t="shared" si="94"/>
        <v>555.34163577276956</v>
      </c>
      <c r="N133" s="347">
        <f t="shared" si="94"/>
        <v>625.15379322908836</v>
      </c>
      <c r="O133" s="347">
        <f t="shared" si="94"/>
        <v>706.89036123869209</v>
      </c>
    </row>
    <row r="134" spans="2:15" x14ac:dyDescent="0.55000000000000004">
      <c r="B134" s="10" t="s">
        <v>4</v>
      </c>
      <c r="C134" s="10"/>
      <c r="D134" s="10"/>
      <c r="E134" s="344"/>
      <c r="F134" s="344"/>
      <c r="G134" s="344"/>
      <c r="H134" s="47">
        <f>H133/H132</f>
        <v>0.46447421843280545</v>
      </c>
      <c r="I134" s="47">
        <f t="shared" ref="I134:O134" si="95">I133/I132</f>
        <v>0.40741569821028706</v>
      </c>
      <c r="J134" s="47">
        <f t="shared" si="95"/>
        <v>0.41080970552604845</v>
      </c>
      <c r="K134" s="47">
        <f t="shared" si="95"/>
        <v>0.41003253956405966</v>
      </c>
      <c r="L134" s="47">
        <f t="shared" si="95"/>
        <v>0.40554259534081022</v>
      </c>
      <c r="M134" s="47">
        <f t="shared" si="95"/>
        <v>0.40557839252958255</v>
      </c>
      <c r="N134" s="47">
        <f t="shared" si="95"/>
        <v>0.4058509350941597</v>
      </c>
      <c r="O134" s="47">
        <f t="shared" si="95"/>
        <v>0.40595790606871718</v>
      </c>
    </row>
    <row r="135" spans="2:15" x14ac:dyDescent="0.55000000000000004">
      <c r="E135" s="2"/>
      <c r="F135" s="2"/>
      <c r="G135" s="2"/>
      <c r="H135" s="2"/>
      <c r="I135" s="2"/>
      <c r="J135" s="2"/>
      <c r="K135" s="2"/>
      <c r="L135" s="2"/>
      <c r="M135" s="2"/>
      <c r="N135" s="2"/>
      <c r="O135" s="2"/>
    </row>
    <row r="136" spans="2:15" x14ac:dyDescent="0.55000000000000004">
      <c r="B136" t="s">
        <v>2018</v>
      </c>
      <c r="E136" s="2"/>
      <c r="F136" s="2"/>
      <c r="G136" s="26">
        <f>SUM(Quarts!O31:R31)</f>
        <v>34.874000000000002</v>
      </c>
      <c r="H136" s="26">
        <f>Quarts!S31+Quarts!T31+Quarts!U31+Quarts!V31</f>
        <v>84</v>
      </c>
      <c r="I136" s="134">
        <v>43</v>
      </c>
      <c r="J136" s="134">
        <f>I136*1.55</f>
        <v>66.650000000000006</v>
      </c>
      <c r="K136" s="134">
        <f>J136*1.3</f>
        <v>86.64500000000001</v>
      </c>
      <c r="L136" s="134">
        <f>K136*1.25</f>
        <v>108.30625000000001</v>
      </c>
      <c r="M136" s="134">
        <f>L136*1.25</f>
        <v>135.3828125</v>
      </c>
      <c r="N136" s="134">
        <f>M136*1.2</f>
        <v>162.45937499999999</v>
      </c>
      <c r="O136" s="134">
        <f>N136*1.2</f>
        <v>194.95124999999999</v>
      </c>
    </row>
    <row r="137" spans="2:15" x14ac:dyDescent="0.55000000000000004">
      <c r="E137" s="2"/>
      <c r="F137" s="2"/>
      <c r="G137" s="2"/>
      <c r="I137" s="134"/>
      <c r="J137" s="134"/>
      <c r="K137" s="134"/>
      <c r="L137" s="134"/>
      <c r="M137" s="134"/>
      <c r="N137" s="134"/>
      <c r="O137" s="134"/>
    </row>
    <row r="138" spans="2:15" x14ac:dyDescent="0.55000000000000004">
      <c r="B138" t="s">
        <v>105</v>
      </c>
      <c r="E138" s="2"/>
      <c r="F138" s="2"/>
      <c r="G138" s="2"/>
      <c r="H138" s="26">
        <f>Quarts!S75+Quarts!T75+Quarts!U75+Quarts!V75</f>
        <v>5.8</v>
      </c>
      <c r="I138" s="391">
        <f>I139*I136</f>
        <v>3.8699999999999997</v>
      </c>
      <c r="J138" s="391">
        <f t="shared" ref="J138" si="96">J139*J136</f>
        <v>11.330500000000002</v>
      </c>
      <c r="K138" s="391">
        <f t="shared" ref="K138" si="97">K139*K136</f>
        <v>17.329000000000004</v>
      </c>
      <c r="L138" s="391">
        <f t="shared" ref="L138" si="98">L139*L136</f>
        <v>21.661250000000003</v>
      </c>
      <c r="M138" s="391">
        <f t="shared" ref="M138" si="99">M139*M136</f>
        <v>27.076562500000001</v>
      </c>
      <c r="N138" s="391">
        <f t="shared" ref="N138" si="100">N139*N136</f>
        <v>32.491875</v>
      </c>
      <c r="O138" s="391">
        <f t="shared" ref="O138" si="101">O139*O136</f>
        <v>38.990250000000003</v>
      </c>
    </row>
    <row r="139" spans="2:15" x14ac:dyDescent="0.55000000000000004">
      <c r="B139" t="s">
        <v>610</v>
      </c>
      <c r="E139" s="2"/>
      <c r="F139" s="2"/>
      <c r="G139" s="2"/>
      <c r="H139" s="2">
        <f>H138/H136</f>
        <v>6.9047619047619052E-2</v>
      </c>
      <c r="I139" s="19">
        <v>0.09</v>
      </c>
      <c r="J139" s="19">
        <v>0.17</v>
      </c>
      <c r="K139" s="19">
        <v>0.2</v>
      </c>
      <c r="L139" s="19">
        <v>0.2</v>
      </c>
      <c r="M139" s="19">
        <v>0.2</v>
      </c>
      <c r="N139" s="19">
        <v>0.2</v>
      </c>
      <c r="O139" s="19">
        <v>0.2</v>
      </c>
    </row>
    <row r="140" spans="2:15" x14ac:dyDescent="0.55000000000000004">
      <c r="E140" s="2"/>
      <c r="F140" s="2"/>
      <c r="G140" s="2"/>
      <c r="I140" s="134"/>
      <c r="J140" s="134"/>
      <c r="K140" s="134"/>
      <c r="L140" s="134"/>
      <c r="M140" s="134"/>
      <c r="N140" s="134"/>
      <c r="O140" s="134"/>
    </row>
    <row r="141" spans="2:15" x14ac:dyDescent="0.55000000000000004">
      <c r="B141" t="s">
        <v>2017</v>
      </c>
      <c r="E141" s="2"/>
      <c r="F141" s="2"/>
      <c r="G141" s="2"/>
      <c r="H141" s="26">
        <f>Quarts!S32+Quarts!T32+Quarts!U32+Quarts!V32</f>
        <v>36.699999999999996</v>
      </c>
      <c r="I141" s="134">
        <v>85</v>
      </c>
      <c r="J141" s="134">
        <v>70</v>
      </c>
      <c r="K141" s="134">
        <f>J141*1.3</f>
        <v>91</v>
      </c>
      <c r="L141" s="134">
        <f>K141*1.25</f>
        <v>113.75</v>
      </c>
      <c r="M141" s="134">
        <f>L141*1.25</f>
        <v>142.1875</v>
      </c>
      <c r="N141" s="134">
        <f>M141*1.2</f>
        <v>170.625</v>
      </c>
      <c r="O141" s="134">
        <f>N141*1.2</f>
        <v>204.75</v>
      </c>
    </row>
    <row r="142" spans="2:15" x14ac:dyDescent="0.55000000000000004">
      <c r="E142" s="2"/>
      <c r="F142" s="2"/>
      <c r="G142" s="2"/>
      <c r="H142" s="2"/>
      <c r="I142" s="134"/>
      <c r="J142" s="134"/>
      <c r="K142" s="134"/>
      <c r="L142" s="134"/>
      <c r="M142" s="134"/>
      <c r="N142" s="134"/>
      <c r="O142" s="134"/>
    </row>
    <row r="143" spans="2:15" x14ac:dyDescent="0.55000000000000004">
      <c r="B143" t="s">
        <v>105</v>
      </c>
      <c r="E143" s="2"/>
      <c r="F143" s="2"/>
      <c r="G143" s="2"/>
      <c r="H143" s="26">
        <f>Quarts!S76+Quarts!T76+Quarts!U76+Quarts!V76</f>
        <v>26.1</v>
      </c>
      <c r="I143" s="391">
        <f>I144*I141</f>
        <v>18.7</v>
      </c>
      <c r="J143" s="391">
        <f t="shared" ref="J143" si="102">J144*J141</f>
        <v>21</v>
      </c>
      <c r="K143" s="391">
        <f t="shared" ref="K143" si="103">K144*K141</f>
        <v>27.3</v>
      </c>
      <c r="L143" s="391">
        <f t="shared" ref="L143" si="104">L144*L141</f>
        <v>34.125</v>
      </c>
      <c r="M143" s="391">
        <f t="shared" ref="M143" si="105">M144*M141</f>
        <v>42.65625</v>
      </c>
      <c r="N143" s="391">
        <f t="shared" ref="N143" si="106">N144*N141</f>
        <v>51.1875</v>
      </c>
      <c r="O143" s="391">
        <f t="shared" ref="O143" si="107">O144*O141</f>
        <v>61.424999999999997</v>
      </c>
    </row>
    <row r="144" spans="2:15" x14ac:dyDescent="0.55000000000000004">
      <c r="B144" t="s">
        <v>610</v>
      </c>
      <c r="E144" s="2"/>
      <c r="F144" s="2"/>
      <c r="G144" s="2"/>
      <c r="H144" s="2">
        <f>H143/H141</f>
        <v>0.71117166212534078</v>
      </c>
      <c r="I144" s="19">
        <v>0.22</v>
      </c>
      <c r="J144" s="19">
        <v>0.3</v>
      </c>
      <c r="K144" s="19">
        <v>0.3</v>
      </c>
      <c r="L144" s="19">
        <v>0.3</v>
      </c>
      <c r="M144" s="19">
        <v>0.3</v>
      </c>
      <c r="N144" s="19">
        <v>0.3</v>
      </c>
      <c r="O144" s="19">
        <v>0.3</v>
      </c>
    </row>
    <row r="145" spans="2:15" x14ac:dyDescent="0.55000000000000004">
      <c r="E145" s="2"/>
      <c r="F145" s="2"/>
      <c r="G145" s="2"/>
      <c r="H145" s="2"/>
      <c r="I145" s="134"/>
      <c r="J145" s="134"/>
      <c r="K145" s="134"/>
      <c r="L145" s="134"/>
      <c r="M145" s="134"/>
      <c r="N145" s="134"/>
      <c r="O145" s="134"/>
    </row>
    <row r="146" spans="2:15" x14ac:dyDescent="0.55000000000000004">
      <c r="B146" t="s">
        <v>2016</v>
      </c>
      <c r="E146" s="2"/>
      <c r="F146" s="2"/>
      <c r="G146" s="26">
        <f>SUM(Quarts!O33:R33)</f>
        <v>38.024999999999999</v>
      </c>
      <c r="H146" s="26">
        <f ca="1">Quarts!S33+Quarts!T33+Quarts!U33+Quarts!V33</f>
        <v>37.000000000000007</v>
      </c>
      <c r="I146" s="134">
        <v>62</v>
      </c>
      <c r="J146" s="134">
        <f>I146*1.3</f>
        <v>80.600000000000009</v>
      </c>
      <c r="K146" s="134">
        <f>J146*1.3</f>
        <v>104.78000000000002</v>
      </c>
      <c r="L146" s="134">
        <f>K146*1.25</f>
        <v>130.97500000000002</v>
      </c>
      <c r="M146" s="134">
        <f>L146*1.15</f>
        <v>150.62125</v>
      </c>
      <c r="N146" s="134">
        <f t="shared" ref="N146:O146" si="108">M146*1.15</f>
        <v>173.2144375</v>
      </c>
      <c r="O146" s="134">
        <f t="shared" si="108"/>
        <v>199.196603125</v>
      </c>
    </row>
    <row r="147" spans="2:15" x14ac:dyDescent="0.55000000000000004">
      <c r="E147" s="2"/>
      <c r="F147" s="2"/>
      <c r="G147" s="2"/>
      <c r="H147" s="2"/>
      <c r="I147" s="134"/>
      <c r="J147" s="134"/>
      <c r="K147" s="134"/>
      <c r="L147" s="134"/>
      <c r="M147" s="134"/>
      <c r="N147" s="134"/>
      <c r="O147" s="134"/>
    </row>
    <row r="148" spans="2:15" x14ac:dyDescent="0.55000000000000004">
      <c r="B148" t="s">
        <v>105</v>
      </c>
      <c r="E148" s="2"/>
      <c r="F148" s="2"/>
      <c r="G148" s="2"/>
      <c r="H148" s="26">
        <f>Quarts!S77+Quarts!T77+Quarts!U77+Quarts!V77</f>
        <v>16.2</v>
      </c>
      <c r="I148" s="391">
        <f>I149*I146</f>
        <v>18.599999999999998</v>
      </c>
      <c r="J148" s="391">
        <f t="shared" ref="J148:O148" si="109">J149*J146</f>
        <v>24.180000000000003</v>
      </c>
      <c r="K148" s="391">
        <f t="shared" si="109"/>
        <v>31.434000000000005</v>
      </c>
      <c r="L148" s="391">
        <f t="shared" si="109"/>
        <v>39.292500000000004</v>
      </c>
      <c r="M148" s="391">
        <f t="shared" si="109"/>
        <v>45.186374999999998</v>
      </c>
      <c r="N148" s="391">
        <f t="shared" si="109"/>
        <v>51.964331250000001</v>
      </c>
      <c r="O148" s="391">
        <f t="shared" si="109"/>
        <v>59.758980937499999</v>
      </c>
    </row>
    <row r="149" spans="2:15" x14ac:dyDescent="0.55000000000000004">
      <c r="B149" t="s">
        <v>610</v>
      </c>
      <c r="E149" s="2"/>
      <c r="F149" s="2"/>
      <c r="G149" s="2"/>
      <c r="H149" s="2">
        <f ca="1">H148/H146</f>
        <v>0.43783783783783775</v>
      </c>
      <c r="I149" s="19">
        <v>0.3</v>
      </c>
      <c r="J149" s="19">
        <v>0.3</v>
      </c>
      <c r="K149" s="19">
        <v>0.3</v>
      </c>
      <c r="L149" s="19">
        <v>0.3</v>
      </c>
      <c r="M149" s="19">
        <v>0.3</v>
      </c>
      <c r="N149" s="19">
        <v>0.3</v>
      </c>
      <c r="O149" s="19">
        <v>0.3</v>
      </c>
    </row>
    <row r="150" spans="2:15" x14ac:dyDescent="0.55000000000000004">
      <c r="E150" s="2"/>
      <c r="F150" s="2"/>
      <c r="G150" s="2"/>
      <c r="H150" s="2"/>
      <c r="I150" s="134"/>
      <c r="J150" s="134"/>
      <c r="K150" s="134"/>
      <c r="L150" s="134"/>
      <c r="M150" s="134"/>
      <c r="N150" s="134"/>
      <c r="O150" s="134"/>
    </row>
    <row r="151" spans="2:15" x14ac:dyDescent="0.55000000000000004">
      <c r="B151" s="10" t="s">
        <v>2019</v>
      </c>
      <c r="C151" s="10"/>
      <c r="D151" s="10"/>
      <c r="E151" s="344"/>
      <c r="F151" s="344"/>
      <c r="G151" s="347">
        <f>G136+G146</f>
        <v>72.899000000000001</v>
      </c>
      <c r="H151" s="347">
        <f t="shared" ref="H151:O151" ca="1" si="110">H136+H141+H146</f>
        <v>157.69999999999999</v>
      </c>
      <c r="I151" s="347">
        <f t="shared" si="110"/>
        <v>190</v>
      </c>
      <c r="J151" s="347">
        <f t="shared" si="110"/>
        <v>217.25</v>
      </c>
      <c r="K151" s="347">
        <f t="shared" si="110"/>
        <v>282.42500000000001</v>
      </c>
      <c r="L151" s="347">
        <f t="shared" si="110"/>
        <v>353.03125</v>
      </c>
      <c r="M151" s="347">
        <f t="shared" si="110"/>
        <v>428.19156250000003</v>
      </c>
      <c r="N151" s="347">
        <f t="shared" si="110"/>
        <v>506.29881250000005</v>
      </c>
      <c r="O151" s="347">
        <f t="shared" si="110"/>
        <v>598.89785312499998</v>
      </c>
    </row>
    <row r="152" spans="2:15" x14ac:dyDescent="0.55000000000000004">
      <c r="B152" s="10" t="s">
        <v>2020</v>
      </c>
      <c r="C152" s="10"/>
      <c r="D152" s="10"/>
      <c r="E152" s="344"/>
      <c r="F152" s="344"/>
      <c r="G152" s="347"/>
      <c r="H152" s="347">
        <f>H138+H143+H148</f>
        <v>48.1</v>
      </c>
      <c r="I152" s="347">
        <f t="shared" ref="I152:O152" si="111">I138+I143+I148</f>
        <v>41.17</v>
      </c>
      <c r="J152" s="347">
        <f t="shared" si="111"/>
        <v>56.510500000000008</v>
      </c>
      <c r="K152" s="347">
        <f t="shared" si="111"/>
        <v>76.063000000000017</v>
      </c>
      <c r="L152" s="347">
        <f t="shared" si="111"/>
        <v>95.078750000000014</v>
      </c>
      <c r="M152" s="347">
        <f t="shared" si="111"/>
        <v>114.91918749999999</v>
      </c>
      <c r="N152" s="347">
        <f t="shared" si="111"/>
        <v>135.64370624999998</v>
      </c>
      <c r="O152" s="347">
        <f t="shared" si="111"/>
        <v>160.1742309375</v>
      </c>
    </row>
    <row r="153" spans="2:15" x14ac:dyDescent="0.55000000000000004">
      <c r="B153" s="10" t="s">
        <v>2021</v>
      </c>
      <c r="C153" s="10"/>
      <c r="D153" s="10"/>
      <c r="E153" s="344"/>
      <c r="F153" s="344"/>
      <c r="G153" s="347"/>
      <c r="H153" s="47">
        <f ca="1">H152/H151</f>
        <v>0.30500951173113511</v>
      </c>
      <c r="I153" s="47">
        <f t="shared" ref="I153:O153" si="112">I152/I151</f>
        <v>0.21668421052631578</v>
      </c>
      <c r="J153" s="47">
        <f t="shared" si="112"/>
        <v>0.26011737629459153</v>
      </c>
      <c r="K153" s="47">
        <f t="shared" si="112"/>
        <v>0.26932105868814732</v>
      </c>
      <c r="L153" s="47">
        <f t="shared" si="112"/>
        <v>0.26932105868814732</v>
      </c>
      <c r="M153" s="47">
        <f t="shared" si="112"/>
        <v>0.26838265291600644</v>
      </c>
      <c r="N153" s="47">
        <f t="shared" si="112"/>
        <v>0.26791235314224632</v>
      </c>
      <c r="O153" s="47">
        <f t="shared" si="112"/>
        <v>0.26744833046524374</v>
      </c>
    </row>
    <row r="154" spans="2:15" x14ac:dyDescent="0.55000000000000004">
      <c r="E154" s="2"/>
      <c r="F154" s="2"/>
      <c r="G154" s="9"/>
      <c r="H154" s="9"/>
      <c r="I154" s="2"/>
      <c r="J154" s="2"/>
      <c r="K154" s="2"/>
      <c r="L154" s="2"/>
      <c r="M154" s="2"/>
      <c r="N154" s="2"/>
      <c r="O154" s="2"/>
    </row>
    <row r="155" spans="2:15" x14ac:dyDescent="0.55000000000000004">
      <c r="B155" s="22" t="s">
        <v>2008</v>
      </c>
      <c r="E155" s="2"/>
      <c r="F155" s="2"/>
      <c r="G155" s="9"/>
      <c r="H155" s="9"/>
      <c r="I155" s="2"/>
      <c r="J155" s="2"/>
      <c r="K155" s="2"/>
      <c r="L155" s="2"/>
      <c r="M155" s="2"/>
      <c r="N155" s="2"/>
      <c r="O155" s="2"/>
    </row>
    <row r="156" spans="2:15" x14ac:dyDescent="0.55000000000000004">
      <c r="B156" t="s">
        <v>64</v>
      </c>
      <c r="E156" s="2"/>
      <c r="F156" s="2"/>
      <c r="G156" s="2">
        <f t="shared" ref="G156:O156" si="113">G102/G$98</f>
        <v>0.20052518500835523</v>
      </c>
      <c r="H156" s="2">
        <f t="shared" si="113"/>
        <v>0.24431119311193114</v>
      </c>
      <c r="I156" s="2">
        <f t="shared" si="113"/>
        <v>0.28619157766585868</v>
      </c>
      <c r="J156" s="2">
        <f t="shared" si="113"/>
        <v>0.29938899989631007</v>
      </c>
      <c r="K156" s="2">
        <f t="shared" si="113"/>
        <v>0.30326093027634476</v>
      </c>
      <c r="L156" s="2">
        <f t="shared" si="113"/>
        <v>0.30344648149502179</v>
      </c>
      <c r="M156" s="2">
        <f t="shared" si="113"/>
        <v>0.29305744184455301</v>
      </c>
      <c r="N156" s="2">
        <f t="shared" si="113"/>
        <v>0.27756076482991721</v>
      </c>
      <c r="O156" s="2">
        <f t="shared" si="113"/>
        <v>0.26178449196796377</v>
      </c>
    </row>
    <row r="157" spans="2:15" x14ac:dyDescent="0.55000000000000004">
      <c r="B157" t="s">
        <v>75</v>
      </c>
      <c r="E157" s="2"/>
      <c r="F157" s="2"/>
      <c r="G157" s="2">
        <f t="shared" ref="G157:O157" si="114">G112/G$98</f>
        <v>0.18524707567438528</v>
      </c>
      <c r="H157" s="2">
        <f t="shared" si="114"/>
        <v>0.11546740467404673</v>
      </c>
      <c r="I157" s="2">
        <f t="shared" si="114"/>
        <v>8.0519986515389802E-2</v>
      </c>
      <c r="J157" s="2">
        <f t="shared" si="114"/>
        <v>7.5585578047514021E-2</v>
      </c>
      <c r="K157" s="2">
        <f t="shared" si="114"/>
        <v>6.3076223100978518E-2</v>
      </c>
      <c r="L157" s="2">
        <f t="shared" si="114"/>
        <v>5.4076774777132609E-2</v>
      </c>
      <c r="M157" s="2">
        <f t="shared" si="114"/>
        <v>4.8637703430918805E-2</v>
      </c>
      <c r="N157" s="2">
        <f t="shared" si="114"/>
        <v>4.485131361181318E-2</v>
      </c>
      <c r="O157" s="2">
        <f t="shared" si="114"/>
        <v>4.1186775536505987E-2</v>
      </c>
    </row>
    <row r="158" spans="2:15" x14ac:dyDescent="0.55000000000000004">
      <c r="B158" t="s">
        <v>68</v>
      </c>
      <c r="E158" s="2"/>
      <c r="F158" s="2"/>
      <c r="G158" s="2">
        <f t="shared" ref="G158:O158" si="115">G117/G$98</f>
        <v>0.16209119121508717</v>
      </c>
      <c r="H158" s="2">
        <f t="shared" si="115"/>
        <v>0.17958179581795819</v>
      </c>
      <c r="I158" s="2">
        <f t="shared" si="115"/>
        <v>0.1954421372694799</v>
      </c>
      <c r="J158" s="2">
        <f t="shared" si="115"/>
        <v>0.2098965062087868</v>
      </c>
      <c r="K158" s="2">
        <f t="shared" si="115"/>
        <v>0.2126110503614925</v>
      </c>
      <c r="L158" s="2">
        <f t="shared" si="115"/>
        <v>0.21274113714670032</v>
      </c>
      <c r="M158" s="2">
        <f t="shared" si="115"/>
        <v>0.205457559172048</v>
      </c>
      <c r="N158" s="2">
        <f t="shared" si="115"/>
        <v>0.19459310401723404</v>
      </c>
      <c r="O158" s="2">
        <f t="shared" si="115"/>
        <v>0.18353262899688469</v>
      </c>
    </row>
    <row r="159" spans="2:15" x14ac:dyDescent="0.55000000000000004">
      <c r="B159" t="s">
        <v>74</v>
      </c>
      <c r="E159" s="2"/>
      <c r="F159" s="2"/>
      <c r="G159" s="2">
        <f t="shared" ref="G159:O159" si="116">G122/G$98</f>
        <v>0.12508952017187874</v>
      </c>
      <c r="H159" s="2">
        <f t="shared" si="116"/>
        <v>8.5639606396063953E-2</v>
      </c>
      <c r="I159" s="2">
        <f t="shared" si="116"/>
        <v>7.4229362568874968E-2</v>
      </c>
      <c r="J159" s="2">
        <f t="shared" si="116"/>
        <v>7.3814041062025409E-2</v>
      </c>
      <c r="K159" s="2">
        <f t="shared" si="116"/>
        <v>7.3330802526249211E-2</v>
      </c>
      <c r="L159" s="2">
        <f t="shared" si="116"/>
        <v>7.4843183628533969E-2</v>
      </c>
      <c r="M159" s="2">
        <f t="shared" si="116"/>
        <v>8.0137399539663381E-2</v>
      </c>
      <c r="N159" s="2">
        <f t="shared" si="116"/>
        <v>8.7974755063308527E-2</v>
      </c>
      <c r="O159" s="2">
        <f t="shared" si="116"/>
        <v>9.6174825266943709E-2</v>
      </c>
    </row>
    <row r="160" spans="2:15" x14ac:dyDescent="0.55000000000000004">
      <c r="B160" t="s">
        <v>79</v>
      </c>
      <c r="E160" s="2"/>
      <c r="F160" s="2"/>
      <c r="G160" s="2">
        <f t="shared" ref="G160:O160" si="117">G127/G$98</f>
        <v>0.15111005013129625</v>
      </c>
      <c r="H160" s="2">
        <f t="shared" si="117"/>
        <v>0.13238007380073799</v>
      </c>
      <c r="I160" s="2">
        <f t="shared" si="117"/>
        <v>0.12457322601283312</v>
      </c>
      <c r="J160" s="2">
        <f t="shared" si="117"/>
        <v>0.12387622501282111</v>
      </c>
      <c r="K160" s="2">
        <f t="shared" si="117"/>
        <v>0.12306524427350109</v>
      </c>
      <c r="L160" s="2">
        <f t="shared" si="117"/>
        <v>0.12560335299964898</v>
      </c>
      <c r="M160" s="2">
        <f t="shared" si="117"/>
        <v>0.13448821382067405</v>
      </c>
      <c r="N160" s="2">
        <f t="shared" si="117"/>
        <v>0.14764102326429648</v>
      </c>
      <c r="O160" s="2">
        <f t="shared" si="117"/>
        <v>0.16140254786112593</v>
      </c>
    </row>
    <row r="161" spans="2:15" x14ac:dyDescent="0.55000000000000004">
      <c r="B161" t="s">
        <v>69</v>
      </c>
      <c r="E161" s="2"/>
      <c r="F161" s="2"/>
      <c r="G161" s="2">
        <f t="shared" ref="G161:O161" si="118">G136/G$98</f>
        <v>8.3251372642635491E-2</v>
      </c>
      <c r="H161" s="2">
        <f t="shared" si="118"/>
        <v>0.12915129151291513</v>
      </c>
      <c r="I161" s="2">
        <f t="shared" si="118"/>
        <v>5.4099365940027518E-2</v>
      </c>
      <c r="J161" s="2">
        <f t="shared" si="118"/>
        <v>6.6707875753003312E-2</v>
      </c>
      <c r="K161" s="2">
        <f t="shared" si="118"/>
        <v>6.8922005530976146E-2</v>
      </c>
      <c r="L161" s="2">
        <f t="shared" si="118"/>
        <v>7.0343459205362183E-2</v>
      </c>
      <c r="M161" s="2">
        <f t="shared" si="118"/>
        <v>7.5319376088017725E-2</v>
      </c>
      <c r="N161" s="2">
        <f t="shared" si="118"/>
        <v>7.9378112502909312E-2</v>
      </c>
      <c r="O161" s="2">
        <f t="shared" si="118"/>
        <v>8.3305819387773802E-2</v>
      </c>
    </row>
    <row r="162" spans="2:15" x14ac:dyDescent="0.55000000000000004">
      <c r="B162" t="s">
        <v>198</v>
      </c>
      <c r="E162" s="2"/>
      <c r="F162" s="2"/>
      <c r="G162" s="2"/>
      <c r="H162" s="2">
        <f>H141/H$98</f>
        <v>5.6426814268142673E-2</v>
      </c>
      <c r="I162" s="2">
        <f t="shared" ref="I162:O162" si="119">I141/I$98</f>
        <v>0.10694060709075208</v>
      </c>
      <c r="J162" s="2">
        <f t="shared" si="119"/>
        <v>7.0060784736837689E-2</v>
      </c>
      <c r="K162" s="2">
        <f t="shared" si="119"/>
        <v>7.2386202358114479E-2</v>
      </c>
      <c r="L162" s="2">
        <f t="shared" si="119"/>
        <v>7.3879101941115563E-2</v>
      </c>
      <c r="M162" s="2">
        <f t="shared" si="119"/>
        <v>7.910512117271179E-2</v>
      </c>
      <c r="N162" s="2">
        <f t="shared" si="119"/>
        <v>8.3367860093078061E-2</v>
      </c>
      <c r="O162" s="2">
        <f t="shared" si="119"/>
        <v>8.7492983603063262E-2</v>
      </c>
    </row>
    <row r="163" spans="2:15" x14ac:dyDescent="0.55000000000000004">
      <c r="B163" s="14" t="s">
        <v>2023</v>
      </c>
      <c r="C163" s="14"/>
      <c r="D163" s="14"/>
      <c r="E163" s="44"/>
      <c r="F163" s="44"/>
      <c r="G163" s="44"/>
      <c r="H163" s="44">
        <f ca="1">H146/H$98</f>
        <v>5.688806888068882E-2</v>
      </c>
      <c r="I163" s="44">
        <f t="shared" ref="I163:O163" si="120">I146/I$98</f>
        <v>7.8003736936783863E-2</v>
      </c>
      <c r="J163" s="44">
        <f t="shared" si="120"/>
        <v>8.0669989282701679E-2</v>
      </c>
      <c r="K163" s="44">
        <f t="shared" si="120"/>
        <v>8.3347541572343253E-2</v>
      </c>
      <c r="L163" s="44">
        <f t="shared" si="120"/>
        <v>8.5066508806484517E-2</v>
      </c>
      <c r="M163" s="44">
        <f t="shared" si="120"/>
        <v>8.3797184931413207E-2</v>
      </c>
      <c r="N163" s="44">
        <f t="shared" si="120"/>
        <v>8.4633066617443006E-2</v>
      </c>
      <c r="O163" s="44">
        <f t="shared" si="120"/>
        <v>8.5119927379738822E-2</v>
      </c>
    </row>
    <row r="164" spans="2:15" x14ac:dyDescent="0.55000000000000004">
      <c r="B164" t="s">
        <v>243</v>
      </c>
      <c r="E164" s="2"/>
      <c r="F164" s="2"/>
      <c r="G164" s="2">
        <f t="shared" ref="G164:O164" si="121">SUM(G156:G163)</f>
        <v>0.90731439484363829</v>
      </c>
      <c r="H164" s="2">
        <f t="shared" ca="1" si="121"/>
        <v>0.99984624846248471</v>
      </c>
      <c r="I164" s="2">
        <f t="shared" si="121"/>
        <v>0.99999999999999989</v>
      </c>
      <c r="J164" s="2">
        <f t="shared" si="121"/>
        <v>1</v>
      </c>
      <c r="K164" s="2">
        <f t="shared" si="121"/>
        <v>1</v>
      </c>
      <c r="L164" s="2">
        <f t="shared" si="121"/>
        <v>0.99999999999999989</v>
      </c>
      <c r="M164" s="2">
        <f t="shared" si="121"/>
        <v>1</v>
      </c>
      <c r="N164" s="2">
        <f t="shared" si="121"/>
        <v>0.99999999999999978</v>
      </c>
      <c r="O164" s="2">
        <f t="shared" si="121"/>
        <v>1</v>
      </c>
    </row>
    <row r="165" spans="2:15" x14ac:dyDescent="0.55000000000000004">
      <c r="E165" s="2"/>
      <c r="F165" s="2"/>
      <c r="G165" s="2"/>
      <c r="H165" s="9"/>
      <c r="I165" s="2"/>
      <c r="J165" s="2"/>
      <c r="K165" s="2"/>
      <c r="L165" s="2"/>
      <c r="M165" s="2"/>
      <c r="N165" s="2"/>
      <c r="O165" s="2"/>
    </row>
    <row r="166" spans="2:15" x14ac:dyDescent="0.55000000000000004">
      <c r="B166" s="22" t="s">
        <v>2022</v>
      </c>
      <c r="E166" s="2"/>
      <c r="F166" s="2"/>
      <c r="G166" s="9"/>
      <c r="H166" s="9"/>
      <c r="I166" s="2"/>
      <c r="J166" s="2"/>
      <c r="K166" s="2"/>
      <c r="L166" s="2"/>
      <c r="M166" s="2"/>
      <c r="N166" s="2"/>
      <c r="O166" s="2"/>
    </row>
    <row r="167" spans="2:15" x14ac:dyDescent="0.55000000000000004">
      <c r="B167" t="str">
        <f>B156</f>
        <v>Brazil</v>
      </c>
      <c r="E167" s="2"/>
      <c r="F167" s="2"/>
      <c r="G167" s="2"/>
      <c r="H167" s="2">
        <f>H104/H$195</f>
        <v>0.28457104886821621</v>
      </c>
      <c r="I167" s="2">
        <f t="shared" ref="I167:O167" si="122">I104/I$195</f>
        <v>0.33220833621742124</v>
      </c>
      <c r="J167" s="2">
        <f t="shared" si="122"/>
        <v>0.34845515298498758</v>
      </c>
      <c r="K167" s="2">
        <f t="shared" si="122"/>
        <v>0.35260951655034234</v>
      </c>
      <c r="L167" s="2">
        <f t="shared" si="122"/>
        <v>0.34859478734808974</v>
      </c>
      <c r="M167" s="2">
        <f t="shared" si="122"/>
        <v>0.33793579238907812</v>
      </c>
      <c r="N167" s="2">
        <f t="shared" si="122"/>
        <v>0.32107128405137564</v>
      </c>
      <c r="O167" s="2">
        <f t="shared" si="122"/>
        <v>0.30381667277659063</v>
      </c>
    </row>
    <row r="168" spans="2:15" x14ac:dyDescent="0.55000000000000004">
      <c r="B168" t="str">
        <f t="shared" ref="B168:B174" si="123">B157</f>
        <v>Argentina</v>
      </c>
      <c r="E168" s="2"/>
      <c r="F168" s="2"/>
      <c r="G168" s="2"/>
      <c r="H168" s="2">
        <f>H114/H$195</f>
        <v>0.17587068629292044</v>
      </c>
      <c r="I168" s="2">
        <f t="shared" ref="I168:O168" si="124">I114/I$195</f>
        <v>8.9015999338263985E-2</v>
      </c>
      <c r="J168" s="2">
        <f t="shared" si="124"/>
        <v>7.7976173797752846E-2</v>
      </c>
      <c r="K168" s="2">
        <f t="shared" si="124"/>
        <v>6.5006259552130657E-2</v>
      </c>
      <c r="L168" s="2">
        <f t="shared" si="124"/>
        <v>5.6343745754792382E-2</v>
      </c>
      <c r="M168" s="2">
        <f t="shared" si="124"/>
        <v>5.0868701281865859E-2</v>
      </c>
      <c r="N168" s="2">
        <f t="shared" si="124"/>
        <v>4.7055967592574896E-2</v>
      </c>
      <c r="O168" s="2">
        <f t="shared" si="124"/>
        <v>4.3353247201174498E-2</v>
      </c>
    </row>
    <row r="169" spans="2:15" x14ac:dyDescent="0.55000000000000004">
      <c r="B169" t="str">
        <f t="shared" si="123"/>
        <v>Mexico</v>
      </c>
      <c r="E169" s="2"/>
      <c r="F169" s="2"/>
      <c r="G169" s="2"/>
      <c r="H169" s="2">
        <f>H119/H$195</f>
        <v>0.12531237811836426</v>
      </c>
      <c r="I169" s="2">
        <f t="shared" ref="I169:O169" si="125">I119/I$195</f>
        <v>0.17825286962488604</v>
      </c>
      <c r="J169" s="2">
        <f t="shared" si="125"/>
        <v>0.18877414068540502</v>
      </c>
      <c r="K169" s="2">
        <f t="shared" si="125"/>
        <v>0.19102474999746874</v>
      </c>
      <c r="L169" s="2">
        <f t="shared" si="125"/>
        <v>0.19324164253741025</v>
      </c>
      <c r="M169" s="2">
        <f t="shared" si="125"/>
        <v>0.18733288610032509</v>
      </c>
      <c r="N169" s="2">
        <f t="shared" si="125"/>
        <v>0.1779841367499532</v>
      </c>
      <c r="O169" s="2">
        <f t="shared" si="125"/>
        <v>0.16841913593783694</v>
      </c>
    </row>
    <row r="170" spans="2:15" x14ac:dyDescent="0.55000000000000004">
      <c r="B170" t="str">
        <f t="shared" si="123"/>
        <v>Chile</v>
      </c>
      <c r="E170" s="2"/>
      <c r="F170" s="2"/>
      <c r="G170" s="2"/>
      <c r="H170" s="2">
        <f>H124/H$195</f>
        <v>0.12278446270963643</v>
      </c>
      <c r="I170" s="2">
        <f t="shared" ref="I170:O170" si="126">I124/I$195</f>
        <v>0.12309243658494315</v>
      </c>
      <c r="J170" s="2">
        <f t="shared" si="126"/>
        <v>0.10738906147026257</v>
      </c>
      <c r="K170" s="2">
        <f t="shared" si="126"/>
        <v>0.10464177254485317</v>
      </c>
      <c r="L170" s="2">
        <f t="shared" si="126"/>
        <v>0.10597378584235331</v>
      </c>
      <c r="M170" s="2">
        <f t="shared" si="126"/>
        <v>0.1117510395196076</v>
      </c>
      <c r="N170" s="2">
        <f t="shared" si="126"/>
        <v>0.12069886223469246</v>
      </c>
      <c r="O170" s="2">
        <f t="shared" si="126"/>
        <v>0.1297868352039338</v>
      </c>
    </row>
    <row r="171" spans="2:15" x14ac:dyDescent="0.55000000000000004">
      <c r="B171" t="str">
        <f t="shared" si="123"/>
        <v>Other LatAm</v>
      </c>
      <c r="E171" s="2"/>
      <c r="F171" s="2"/>
      <c r="G171" s="2"/>
      <c r="H171" s="2">
        <f>H129/H$195</f>
        <v>0.11772863189218082</v>
      </c>
      <c r="I171" s="2">
        <f t="shared" ref="I171:O171" si="127">I129/I$195</f>
        <v>0.13427454992369142</v>
      </c>
      <c r="J171" s="2">
        <f t="shared" si="127"/>
        <v>0.12779414142916606</v>
      </c>
      <c r="K171" s="2">
        <f t="shared" si="127"/>
        <v>0.12683085349423001</v>
      </c>
      <c r="L171" s="2">
        <f t="shared" si="127"/>
        <v>0.13086881413560725</v>
      </c>
      <c r="M171" s="2">
        <f t="shared" si="127"/>
        <v>0.14065715056822811</v>
      </c>
      <c r="N171" s="2">
        <f t="shared" si="127"/>
        <v>0.15489827714275667</v>
      </c>
      <c r="O171" s="2">
        <f t="shared" si="127"/>
        <v>0.16989250712575682</v>
      </c>
    </row>
    <row r="172" spans="2:15" x14ac:dyDescent="0.55000000000000004">
      <c r="B172" t="str">
        <f t="shared" si="123"/>
        <v>Nigeria</v>
      </c>
      <c r="E172" s="2"/>
      <c r="F172" s="2"/>
      <c r="G172" s="2"/>
      <c r="H172" s="2">
        <f>H138/H$195</f>
        <v>2.0945584815173272E-2</v>
      </c>
      <c r="I172" s="2">
        <f t="shared" ref="I172:O172" si="128">I138/I$195</f>
        <v>1.3456715524964124E-2</v>
      </c>
      <c r="J172" s="2">
        <f t="shared" si="128"/>
        <v>2.9997454816365125E-2</v>
      </c>
      <c r="K172" s="2">
        <f t="shared" si="128"/>
        <v>3.6426109758789932E-2</v>
      </c>
      <c r="L172" s="2">
        <f t="shared" si="128"/>
        <v>3.7585821244380237E-2</v>
      </c>
      <c r="M172" s="2">
        <f t="shared" si="128"/>
        <v>4.0397053743630354E-2</v>
      </c>
      <c r="N172" s="2">
        <f t="shared" si="128"/>
        <v>4.2707652196868298E-2</v>
      </c>
      <c r="O172" s="2">
        <f t="shared" si="128"/>
        <v>4.4968103128442571E-2</v>
      </c>
    </row>
    <row r="173" spans="2:15" x14ac:dyDescent="0.55000000000000004">
      <c r="B173" t="str">
        <f t="shared" si="123"/>
        <v>Egypt</v>
      </c>
      <c r="E173" s="2"/>
      <c r="F173" s="2"/>
      <c r="G173" s="2"/>
      <c r="H173" s="2">
        <f>H143/H$195</f>
        <v>9.4255131668279743E-2</v>
      </c>
      <c r="I173" s="2">
        <f t="shared" ref="I173:O173" si="129">I143/I$195</f>
        <v>6.5023405766622508E-2</v>
      </c>
      <c r="J173" s="2">
        <f t="shared" si="129"/>
        <v>5.5597418573202197E-2</v>
      </c>
      <c r="K173" s="2">
        <f t="shared" si="129"/>
        <v>5.7385469237403473E-2</v>
      </c>
      <c r="L173" s="2">
        <f t="shared" si="129"/>
        <v>5.9212471577793316E-2</v>
      </c>
      <c r="M173" s="2">
        <f t="shared" si="129"/>
        <v>6.3641269963708738E-2</v>
      </c>
      <c r="N173" s="2">
        <f t="shared" si="129"/>
        <v>6.7281372553205876E-2</v>
      </c>
      <c r="O173" s="2">
        <f t="shared" si="129"/>
        <v>7.0842473045558435E-2</v>
      </c>
    </row>
    <row r="174" spans="2:15" x14ac:dyDescent="0.55000000000000004">
      <c r="B174" s="14" t="str">
        <f t="shared" si="123"/>
        <v>Other Asia / Africa</v>
      </c>
      <c r="C174" s="14"/>
      <c r="D174" s="14"/>
      <c r="E174" s="44"/>
      <c r="F174" s="44"/>
      <c r="G174" s="44"/>
      <c r="H174" s="44">
        <f>H148/H$195</f>
        <v>5.8503185173415004E-2</v>
      </c>
      <c r="I174" s="44">
        <f t="shared" ref="I174:O174" si="130">I148/I$195</f>
        <v>6.4675687019207409E-2</v>
      </c>
      <c r="J174" s="44">
        <f t="shared" si="130"/>
        <v>6.4016456242858538E-2</v>
      </c>
      <c r="K174" s="44">
        <f t="shared" si="130"/>
        <v>6.6075268864781725E-2</v>
      </c>
      <c r="L174" s="44">
        <f t="shared" si="130"/>
        <v>6.8178931559573455E-2</v>
      </c>
      <c r="M174" s="44">
        <f t="shared" si="130"/>
        <v>6.7416106433556139E-2</v>
      </c>
      <c r="N174" s="44">
        <f t="shared" si="130"/>
        <v>6.8302447478572864E-2</v>
      </c>
      <c r="O174" s="44">
        <f t="shared" si="130"/>
        <v>6.8921025580706285E-2</v>
      </c>
    </row>
    <row r="175" spans="2:15" x14ac:dyDescent="0.55000000000000004">
      <c r="B175" t="s">
        <v>243</v>
      </c>
      <c r="E175" s="2"/>
      <c r="F175" s="2"/>
      <c r="G175" s="2"/>
      <c r="H175" s="2">
        <f t="shared" ref="H175:O175" si="131">SUM(H167:H174)</f>
        <v>0.99997110953818613</v>
      </c>
      <c r="I175" s="2">
        <f t="shared" si="131"/>
        <v>0.99999999999999978</v>
      </c>
      <c r="J175" s="2">
        <f t="shared" si="131"/>
        <v>1</v>
      </c>
      <c r="K175" s="2">
        <f t="shared" si="131"/>
        <v>1.0000000000000002</v>
      </c>
      <c r="L175" s="2">
        <f t="shared" si="131"/>
        <v>0.99999999999999989</v>
      </c>
      <c r="M175" s="2">
        <f t="shared" si="131"/>
        <v>1.0000000000000002</v>
      </c>
      <c r="N175" s="2">
        <f t="shared" si="131"/>
        <v>1</v>
      </c>
      <c r="O175" s="2">
        <f t="shared" si="131"/>
        <v>1.0000000000000002</v>
      </c>
    </row>
    <row r="176" spans="2:15" x14ac:dyDescent="0.55000000000000004">
      <c r="E176" s="2"/>
      <c r="F176" s="2"/>
      <c r="G176" s="2"/>
      <c r="H176" s="9"/>
      <c r="I176" s="2"/>
      <c r="J176" s="2"/>
      <c r="K176" s="2"/>
      <c r="L176" s="2"/>
      <c r="M176" s="2"/>
      <c r="N176" s="2"/>
      <c r="O176" s="2"/>
    </row>
    <row r="177" spans="2:15" x14ac:dyDescent="0.55000000000000004">
      <c r="B177" s="22" t="s">
        <v>255</v>
      </c>
      <c r="E177" s="2"/>
      <c r="F177" s="2"/>
      <c r="G177" s="2"/>
      <c r="H177" s="2"/>
      <c r="I177" s="2"/>
      <c r="J177" s="2"/>
      <c r="K177" s="2"/>
      <c r="L177" s="2"/>
      <c r="M177" s="2"/>
      <c r="N177" s="2"/>
      <c r="O177" s="2"/>
    </row>
    <row r="178" spans="2:15" x14ac:dyDescent="0.55000000000000004">
      <c r="B178" t="s">
        <v>219</v>
      </c>
      <c r="E178" s="15">
        <v>1.71</v>
      </c>
      <c r="F178" s="2">
        <f>F179/E98+1</f>
        <v>1.9182692307692308</v>
      </c>
      <c r="G178" s="2">
        <f>G179/F98+1</f>
        <v>1.5759934453092994</v>
      </c>
      <c r="H178" s="2">
        <f>H179/G98+1</f>
        <v>1.4621532585342565</v>
      </c>
      <c r="I178" s="19">
        <v>1.22</v>
      </c>
      <c r="J178" s="19">
        <v>1.25</v>
      </c>
      <c r="K178" s="19">
        <v>1.25</v>
      </c>
      <c r="L178" s="19">
        <f>K178-1%</f>
        <v>1.24</v>
      </c>
      <c r="M178" s="19">
        <f>L178-1%</f>
        <v>1.23</v>
      </c>
      <c r="N178" s="19">
        <v>1.2</v>
      </c>
      <c r="O178" s="19">
        <v>1.19</v>
      </c>
    </row>
    <row r="179" spans="2:15" x14ac:dyDescent="0.55000000000000004">
      <c r="B179" t="s">
        <v>246</v>
      </c>
      <c r="E179" s="9">
        <f>(E178-100%)*D98</f>
        <v>39.049999999999997</v>
      </c>
      <c r="F179" s="26">
        <v>95.5</v>
      </c>
      <c r="G179" s="26">
        <v>140.6</v>
      </c>
      <c r="H179" s="26">
        <f>Quarts!S50+Quarts!T50+Quarts!U50+Quarts!V50</f>
        <v>193.59599999999998</v>
      </c>
      <c r="I179" s="9">
        <f t="shared" ref="I179:O179" si="132">(I178-100%)*H98</f>
        <v>143.08799999999997</v>
      </c>
      <c r="J179" s="9">
        <f t="shared" si="132"/>
        <v>198.70842870722436</v>
      </c>
      <c r="K179" s="9">
        <f t="shared" si="132"/>
        <v>249.78309999999999</v>
      </c>
      <c r="L179" s="9">
        <f t="shared" si="132"/>
        <v>301.71495794117652</v>
      </c>
      <c r="M179" s="9">
        <f t="shared" si="132"/>
        <v>354.12585308430653</v>
      </c>
      <c r="N179" s="9">
        <f t="shared" si="132"/>
        <v>359.48999986880534</v>
      </c>
      <c r="O179" s="9">
        <f t="shared" si="132"/>
        <v>388.86388548063121</v>
      </c>
    </row>
    <row r="180" spans="2:15" x14ac:dyDescent="0.55000000000000004">
      <c r="E180" s="9"/>
      <c r="F180" s="9"/>
      <c r="G180" s="9"/>
      <c r="H180" s="9"/>
      <c r="I180" s="9"/>
      <c r="J180" s="9"/>
      <c r="K180" s="9"/>
      <c r="L180" s="9"/>
      <c r="M180" s="9"/>
      <c r="N180" s="9"/>
      <c r="O180" s="9"/>
    </row>
    <row r="181" spans="2:15" x14ac:dyDescent="0.55000000000000004">
      <c r="B181" t="s">
        <v>256</v>
      </c>
      <c r="E181" s="9">
        <f>E184-E179</f>
        <v>9.9500000000000028</v>
      </c>
      <c r="F181" s="9">
        <f>F184-F179</f>
        <v>44.599999999999994</v>
      </c>
      <c r="G181" s="9">
        <f t="shared" ref="G181:O181" si="133">G184-G179</f>
        <v>34.199999999999989</v>
      </c>
      <c r="H181" s="9">
        <f>H184-H179</f>
        <v>37.904000000000025</v>
      </c>
      <c r="I181" s="9">
        <f t="shared" si="133"/>
        <v>1.3457148288974849</v>
      </c>
      <c r="J181" s="9">
        <f t="shared" si="133"/>
        <v>5.5902564638781769</v>
      </c>
      <c r="K181" s="9">
        <f t="shared" si="133"/>
        <v>8.2301580882354983</v>
      </c>
      <c r="L181" s="9">
        <f t="shared" si="133"/>
        <v>-19.18299392373126</v>
      </c>
      <c r="M181" s="9">
        <f t="shared" si="133"/>
        <v>-96.35347584596002</v>
      </c>
      <c r="N181" s="9">
        <f t="shared" si="133"/>
        <v>-110.28797036740451</v>
      </c>
      <c r="O181" s="9">
        <f t="shared" si="133"/>
        <v>-95.328260777673563</v>
      </c>
    </row>
    <row r="182" spans="2:15" x14ac:dyDescent="0.55000000000000004">
      <c r="B182" t="s">
        <v>59</v>
      </c>
      <c r="E182" s="2">
        <f t="shared" ref="E182:O182" si="134">E181/D98</f>
        <v>0.18090909090909096</v>
      </c>
      <c r="F182" s="2">
        <f t="shared" si="134"/>
        <v>0.42884615384615377</v>
      </c>
      <c r="G182" s="2">
        <f t="shared" si="134"/>
        <v>0.14010651372388361</v>
      </c>
      <c r="H182" s="2">
        <f t="shared" si="134"/>
        <v>9.0484602530436928E-2</v>
      </c>
      <c r="I182" s="2">
        <f t="shared" si="134"/>
        <v>2.0690572400022833E-3</v>
      </c>
      <c r="J182" s="2">
        <f t="shared" si="134"/>
        <v>7.0332402357662725E-3</v>
      </c>
      <c r="K182" s="2">
        <f t="shared" si="134"/>
        <v>8.2373047738572968E-3</v>
      </c>
      <c r="L182" s="2">
        <f t="shared" si="134"/>
        <v>-1.5259165714260345E-2</v>
      </c>
      <c r="M182" s="2">
        <f t="shared" si="134"/>
        <v>-6.2580292434325252E-2</v>
      </c>
      <c r="N182" s="2">
        <f t="shared" si="134"/>
        <v>-6.1358018530503607E-2</v>
      </c>
      <c r="O182" s="2">
        <f t="shared" si="134"/>
        <v>-4.6577659237682346E-2</v>
      </c>
    </row>
    <row r="183" spans="2:15" x14ac:dyDescent="0.55000000000000004">
      <c r="E183" s="9"/>
      <c r="F183" s="9"/>
      <c r="G183" s="9"/>
      <c r="H183" s="9"/>
      <c r="I183" s="9"/>
      <c r="J183" s="9"/>
      <c r="K183" s="9"/>
      <c r="L183" s="9"/>
      <c r="M183" s="9"/>
      <c r="N183" s="9"/>
      <c r="O183" s="9"/>
    </row>
    <row r="184" spans="2:15" x14ac:dyDescent="0.55000000000000004">
      <c r="B184" t="s">
        <v>247</v>
      </c>
      <c r="E184" s="9">
        <f t="shared" ref="E184:O184" si="135">E98-D98</f>
        <v>49</v>
      </c>
      <c r="F184" s="9">
        <f t="shared" si="135"/>
        <v>140.1</v>
      </c>
      <c r="G184" s="9">
        <f t="shared" si="135"/>
        <v>174.79999999999998</v>
      </c>
      <c r="H184" s="9">
        <f t="shared" si="135"/>
        <v>231.5</v>
      </c>
      <c r="I184" s="9">
        <f t="shared" si="135"/>
        <v>144.43371482889745</v>
      </c>
      <c r="J184" s="9">
        <f t="shared" si="135"/>
        <v>204.29868517110253</v>
      </c>
      <c r="K184" s="9">
        <f t="shared" si="135"/>
        <v>258.01325808823549</v>
      </c>
      <c r="L184" s="9">
        <f t="shared" si="135"/>
        <v>282.53196401744526</v>
      </c>
      <c r="M184" s="9">
        <f t="shared" si="135"/>
        <v>257.77237723834651</v>
      </c>
      <c r="N184" s="9">
        <f t="shared" si="135"/>
        <v>249.20202950140083</v>
      </c>
      <c r="O184" s="9">
        <f t="shared" si="135"/>
        <v>293.53562470295765</v>
      </c>
    </row>
    <row r="185" spans="2:15" x14ac:dyDescent="0.55000000000000004">
      <c r="E185" s="9"/>
      <c r="F185" s="10"/>
      <c r="G185" s="10"/>
      <c r="H185" s="10"/>
      <c r="I185" s="10"/>
      <c r="J185" s="10"/>
      <c r="K185" s="10"/>
      <c r="L185" s="10"/>
      <c r="M185" s="10"/>
      <c r="N185" s="10"/>
      <c r="O185" s="10"/>
    </row>
    <row r="186" spans="2:15" x14ac:dyDescent="0.55000000000000004">
      <c r="B186" t="s">
        <v>118</v>
      </c>
      <c r="D186" s="24">
        <v>18.346</v>
      </c>
      <c r="E186" s="24">
        <v>41.655000000000001</v>
      </c>
      <c r="F186" s="24">
        <v>107.276</v>
      </c>
      <c r="G186" s="24">
        <v>206.22300000000001</v>
      </c>
      <c r="H186" s="4">
        <f t="shared" ref="H186:O186" si="136">H187*H95</f>
        <v>355.42200000000003</v>
      </c>
      <c r="I186" s="4">
        <f t="shared" si="136"/>
        <v>442.17635870492097</v>
      </c>
      <c r="J186" s="4">
        <f t="shared" si="136"/>
        <v>545.99267508118089</v>
      </c>
      <c r="K186" s="4">
        <f t="shared" si="136"/>
        <v>686.98835192041338</v>
      </c>
      <c r="L186" s="4">
        <f t="shared" si="136"/>
        <v>841.38268727559239</v>
      </c>
      <c r="M186" s="4">
        <f t="shared" si="136"/>
        <v>982.24673073009365</v>
      </c>
      <c r="N186" s="4">
        <f t="shared" si="136"/>
        <v>1118.4273637704487</v>
      </c>
      <c r="O186" s="4">
        <f t="shared" si="136"/>
        <v>1278.8348342550344</v>
      </c>
    </row>
    <row r="187" spans="2:15" x14ac:dyDescent="0.55000000000000004">
      <c r="B187" t="s">
        <v>119</v>
      </c>
      <c r="D187" s="2">
        <f>D186/D95</f>
        <v>0.35248232400860741</v>
      </c>
      <c r="E187" s="2">
        <f>E186/E95</f>
        <v>0.40306349544249415</v>
      </c>
      <c r="F187" s="2">
        <f>F186/F95</f>
        <v>0.44366692308328581</v>
      </c>
      <c r="G187" s="2">
        <f>G186/G95</f>
        <v>0.49642288008704494</v>
      </c>
      <c r="H187" s="132">
        <v>0.55500000000000005</v>
      </c>
      <c r="I187" s="132">
        <v>0.56499999999999995</v>
      </c>
      <c r="J187" s="132">
        <v>0.55500000000000005</v>
      </c>
      <c r="K187" s="132">
        <v>0.55500000000000005</v>
      </c>
      <c r="L187" s="132">
        <v>0.55500000000000005</v>
      </c>
      <c r="M187" s="132">
        <v>0.55500000000000005</v>
      </c>
      <c r="N187" s="132">
        <v>0.55500000000000005</v>
      </c>
      <c r="O187" s="132">
        <v>0.55500000000000005</v>
      </c>
    </row>
    <row r="189" spans="2:15" x14ac:dyDescent="0.55000000000000004">
      <c r="B189" t="s">
        <v>63</v>
      </c>
      <c r="D189" s="4">
        <f>D194-D186</f>
        <v>1.0670000000000002</v>
      </c>
      <c r="E189" s="4">
        <f>E194-E186</f>
        <v>2.4099999999999966</v>
      </c>
      <c r="F189" s="4">
        <f>F194-F186</f>
        <v>6.4010000000000105</v>
      </c>
      <c r="G189" s="4">
        <f>G194-G186</f>
        <v>10.576999999999998</v>
      </c>
      <c r="H189" s="4">
        <f>H194-H186</f>
        <v>18.069999999999993</v>
      </c>
      <c r="I189" s="29">
        <v>25</v>
      </c>
      <c r="J189" s="4">
        <f t="shared" ref="J189:O189" si="137">J98/I98*I189</f>
        <v>31.425831005894157</v>
      </c>
      <c r="K189" s="4">
        <f t="shared" si="137"/>
        <v>39.541152905134979</v>
      </c>
      <c r="L189" s="4">
        <f t="shared" si="137"/>
        <v>48.427664597655017</v>
      </c>
      <c r="M189" s="4">
        <f t="shared" si="137"/>
        <v>56.535410042682997</v>
      </c>
      <c r="N189" s="4">
        <f t="shared" si="137"/>
        <v>64.373591314191032</v>
      </c>
      <c r="O189" s="4">
        <f t="shared" si="137"/>
        <v>73.606202463749113</v>
      </c>
    </row>
    <row r="191" spans="2:15" ht="14.7" thickBot="1" x14ac:dyDescent="0.6">
      <c r="B191" s="30" t="s">
        <v>117</v>
      </c>
      <c r="C191" s="30"/>
      <c r="D191" s="31">
        <f t="shared" ref="D191:O191" si="138">D98-D186</f>
        <v>36.653999999999996</v>
      </c>
      <c r="E191" s="31">
        <f t="shared" si="138"/>
        <v>62.344999999999999</v>
      </c>
      <c r="F191" s="31">
        <f t="shared" si="138"/>
        <v>136.82400000000001</v>
      </c>
      <c r="G191" s="31">
        <f t="shared" si="138"/>
        <v>212.67699999999996</v>
      </c>
      <c r="H191" s="31">
        <f t="shared" si="138"/>
        <v>294.97799999999995</v>
      </c>
      <c r="I191" s="31">
        <f t="shared" si="138"/>
        <v>352.65735612397646</v>
      </c>
      <c r="J191" s="31">
        <f t="shared" si="138"/>
        <v>453.13972491881907</v>
      </c>
      <c r="K191" s="31">
        <f t="shared" si="138"/>
        <v>570.15730616782207</v>
      </c>
      <c r="L191" s="31">
        <f t="shared" si="138"/>
        <v>698.29493483008832</v>
      </c>
      <c r="M191" s="31">
        <f t="shared" si="138"/>
        <v>815.20326861393357</v>
      </c>
      <c r="N191" s="31">
        <f t="shared" si="138"/>
        <v>928.22466507497938</v>
      </c>
      <c r="O191" s="31">
        <f t="shared" si="138"/>
        <v>1061.3528192933513</v>
      </c>
    </row>
    <row r="192" spans="2:15" ht="14.7" thickTop="1" x14ac:dyDescent="0.55000000000000004">
      <c r="B192" t="s">
        <v>129</v>
      </c>
      <c r="D192" s="4"/>
      <c r="E192" s="2">
        <f>E191/D191-1</f>
        <v>0.70090576744693633</v>
      </c>
      <c r="F192" s="2">
        <f t="shared" ref="F192:O192" si="139">F191/E191-1</f>
        <v>1.1946266741518969</v>
      </c>
      <c r="G192" s="2">
        <f t="shared" si="139"/>
        <v>0.55438373384786255</v>
      </c>
      <c r="H192" s="2">
        <f t="shared" si="139"/>
        <v>0.38697649487250629</v>
      </c>
      <c r="I192" s="2">
        <f t="shared" si="139"/>
        <v>0.19553782357998406</v>
      </c>
      <c r="J192" s="2">
        <f t="shared" si="139"/>
        <v>0.28492917289244946</v>
      </c>
      <c r="K192" s="2">
        <f t="shared" si="139"/>
        <v>0.25823730477385753</v>
      </c>
      <c r="L192" s="2">
        <f t="shared" si="139"/>
        <v>0.22474083428573977</v>
      </c>
      <c r="M192" s="2">
        <f t="shared" si="139"/>
        <v>0.1674197075656747</v>
      </c>
      <c r="N192" s="2">
        <f t="shared" si="139"/>
        <v>0.13864198146949636</v>
      </c>
      <c r="O192" s="2">
        <f t="shared" si="139"/>
        <v>0.14342234076231763</v>
      </c>
    </row>
    <row r="193" spans="2:16" x14ac:dyDescent="0.55000000000000004">
      <c r="G193" s="4"/>
    </row>
    <row r="194" spans="2:16" x14ac:dyDescent="0.55000000000000004">
      <c r="B194" s="14" t="s">
        <v>116</v>
      </c>
      <c r="C194" s="14"/>
      <c r="D194" s="25">
        <v>19.413</v>
      </c>
      <c r="E194" s="25">
        <v>44.064999999999998</v>
      </c>
      <c r="F194" s="25">
        <v>113.67700000000001</v>
      </c>
      <c r="G194" s="25">
        <v>216.8</v>
      </c>
      <c r="H194" s="25">
        <v>373.49200000000002</v>
      </c>
      <c r="I194" s="23">
        <f>I98-I195</f>
        <v>507.24496460076051</v>
      </c>
      <c r="J194" s="23">
        <f t="shared" ref="J194:O194" si="140">J98-J195</f>
        <v>621.41702149999992</v>
      </c>
      <c r="K194" s="23">
        <f t="shared" si="140"/>
        <v>781.41547128676484</v>
      </c>
      <c r="L194" s="23">
        <f t="shared" si="140"/>
        <v>963.36322261018609</v>
      </c>
      <c r="M194" s="23">
        <f t="shared" si="140"/>
        <v>1127.1891760712576</v>
      </c>
      <c r="N194" s="23">
        <f t="shared" si="140"/>
        <v>1285.8545293663396</v>
      </c>
      <c r="O194" s="23">
        <f t="shared" si="140"/>
        <v>1473.1230613721937</v>
      </c>
    </row>
    <row r="195" spans="2:16" x14ac:dyDescent="0.55000000000000004">
      <c r="B195" s="10" t="s">
        <v>105</v>
      </c>
      <c r="C195" s="10"/>
      <c r="D195" s="49">
        <f>D98-D194</f>
        <v>35.587000000000003</v>
      </c>
      <c r="E195" s="49">
        <f>E98-E194</f>
        <v>59.935000000000002</v>
      </c>
      <c r="F195" s="49">
        <f>F98-F194</f>
        <v>130.423</v>
      </c>
      <c r="G195" s="49">
        <f>G98-G194</f>
        <v>202.09999999999997</v>
      </c>
      <c r="H195" s="49">
        <f>H98-H194</f>
        <v>276.90799999999996</v>
      </c>
      <c r="I195" s="49">
        <f>I133+I152</f>
        <v>287.58875022813692</v>
      </c>
      <c r="J195" s="49">
        <f t="shared" ref="J195:O195" si="141">J133+J152</f>
        <v>377.71537850000004</v>
      </c>
      <c r="K195" s="49">
        <f t="shared" si="141"/>
        <v>475.73018680147061</v>
      </c>
      <c r="L195" s="49">
        <f t="shared" si="141"/>
        <v>576.31439949549463</v>
      </c>
      <c r="M195" s="49">
        <f t="shared" si="141"/>
        <v>670.26082327276958</v>
      </c>
      <c r="N195" s="49">
        <f t="shared" si="141"/>
        <v>760.7974994790884</v>
      </c>
      <c r="O195" s="49">
        <f t="shared" si="141"/>
        <v>867.06459217619204</v>
      </c>
      <c r="P195" s="2">
        <f>(K195/H195)^(1/3)-1</f>
        <v>0.19768258760438706</v>
      </c>
    </row>
    <row r="196" spans="2:16" x14ac:dyDescent="0.55000000000000004">
      <c r="B196" t="s">
        <v>129</v>
      </c>
      <c r="D196" s="4"/>
      <c r="E196" s="2">
        <f t="shared" ref="E196:O196" si="142">E195/D195-1</f>
        <v>0.68418242616685854</v>
      </c>
      <c r="F196" s="2">
        <f t="shared" si="142"/>
        <v>1.176074080253608</v>
      </c>
      <c r="G196" s="2">
        <f t="shared" si="142"/>
        <v>0.54957331145580124</v>
      </c>
      <c r="H196" s="2">
        <f t="shared" si="142"/>
        <v>0.37015338941118259</v>
      </c>
      <c r="I196" s="2">
        <f t="shared" si="142"/>
        <v>3.8571475826400636E-2</v>
      </c>
      <c r="J196" s="2">
        <f t="shared" si="142"/>
        <v>0.31338718291438017</v>
      </c>
      <c r="K196" s="2">
        <f t="shared" si="142"/>
        <v>0.25949382492900153</v>
      </c>
      <c r="L196" s="2">
        <f t="shared" si="142"/>
        <v>0.21143121770407913</v>
      </c>
      <c r="M196" s="2">
        <f t="shared" si="142"/>
        <v>0.16301245268123732</v>
      </c>
      <c r="N196" s="2">
        <f t="shared" si="142"/>
        <v>0.13507678363811215</v>
      </c>
      <c r="O196" s="2">
        <f t="shared" si="142"/>
        <v>0.13967855148033981</v>
      </c>
      <c r="P196" s="2"/>
    </row>
    <row r="197" spans="2:16" x14ac:dyDescent="0.55000000000000004">
      <c r="B197" t="s">
        <v>106</v>
      </c>
      <c r="D197" s="2">
        <f t="shared" ref="D197:O197" si="143">D195/D98</f>
        <v>0.64703636363636374</v>
      </c>
      <c r="E197" s="2">
        <f t="shared" si="143"/>
        <v>0.576298076923077</v>
      </c>
      <c r="F197" s="2">
        <f t="shared" si="143"/>
        <v>0.53430151577222451</v>
      </c>
      <c r="G197" s="2">
        <f t="shared" si="143"/>
        <v>0.48245404631176886</v>
      </c>
      <c r="H197" s="2">
        <f t="shared" si="143"/>
        <v>0.42575030750307497</v>
      </c>
      <c r="I197" s="2">
        <f t="shared" si="143"/>
        <v>0.36182253578667795</v>
      </c>
      <c r="J197" s="2">
        <f t="shared" si="143"/>
        <v>0.37804336892688101</v>
      </c>
      <c r="K197" s="2">
        <f t="shared" si="143"/>
        <v>0.37842089637005333</v>
      </c>
      <c r="L197" s="2">
        <f t="shared" si="143"/>
        <v>0.37430848589415783</v>
      </c>
      <c r="M197" s="2">
        <f t="shared" si="143"/>
        <v>0.37289539264924132</v>
      </c>
      <c r="N197" s="2">
        <f t="shared" si="143"/>
        <v>0.37172782122043235</v>
      </c>
      <c r="O197" s="2">
        <f t="shared" si="143"/>
        <v>0.37051071133610891</v>
      </c>
    </row>
    <row r="198" spans="2:16" x14ac:dyDescent="0.55000000000000004">
      <c r="B198" s="10" t="s">
        <v>254</v>
      </c>
      <c r="C198" s="10"/>
      <c r="D198" s="344"/>
      <c r="E198" s="102">
        <f t="shared" ref="E198:O198" si="144">E195/(E43*1000)</f>
        <v>2.9038275193798452E-2</v>
      </c>
      <c r="F198" s="102">
        <f t="shared" si="144"/>
        <v>2.1561084476773022E-2</v>
      </c>
      <c r="G198" s="102">
        <f t="shared" si="144"/>
        <v>1.9125579634711835E-2</v>
      </c>
      <c r="H198" s="102">
        <f t="shared" si="144"/>
        <v>1.5664875261639417E-2</v>
      </c>
      <c r="I198" s="102">
        <f t="shared" si="144"/>
        <v>1.1113704904930698E-2</v>
      </c>
      <c r="J198" s="102">
        <f t="shared" si="144"/>
        <v>1.0544101249505354E-2</v>
      </c>
      <c r="K198" s="102">
        <f t="shared" si="144"/>
        <v>1.0227683852843812E-2</v>
      </c>
      <c r="L198" s="102">
        <f t="shared" si="144"/>
        <v>9.7117666004029272E-3</v>
      </c>
      <c r="M198" s="102">
        <f t="shared" si="144"/>
        <v>9.3853603740130086E-3</v>
      </c>
      <c r="N198" s="102">
        <f t="shared" si="144"/>
        <v>8.9916753454719629E-3</v>
      </c>
      <c r="O198" s="102">
        <f t="shared" si="144"/>
        <v>8.6979427398397452E-3</v>
      </c>
    </row>
    <row r="200" spans="2:16" x14ac:dyDescent="0.55000000000000004">
      <c r="B200" t="s">
        <v>132</v>
      </c>
      <c r="D200" s="24">
        <v>1.347</v>
      </c>
      <c r="E200" s="24">
        <v>2.0049999999999999</v>
      </c>
      <c r="F200" s="24">
        <v>3.3860000000000001</v>
      </c>
      <c r="G200" s="24">
        <v>6.3479999999999999</v>
      </c>
      <c r="H200" s="24">
        <v>12.65</v>
      </c>
    </row>
    <row r="201" spans="2:16" x14ac:dyDescent="0.55000000000000004">
      <c r="B201" t="s">
        <v>133</v>
      </c>
      <c r="D201" s="24">
        <v>2.0569999999999999</v>
      </c>
      <c r="E201" s="24">
        <v>2.8519999999999999</v>
      </c>
      <c r="F201" s="24">
        <v>5.9160000000000004</v>
      </c>
      <c r="G201" s="24">
        <v>13.335000000000001</v>
      </c>
      <c r="H201" s="24">
        <v>17.12</v>
      </c>
    </row>
    <row r="202" spans="2:16" x14ac:dyDescent="0.55000000000000004">
      <c r="B202" t="s">
        <v>134</v>
      </c>
      <c r="D202" s="24">
        <v>14.101000000000001</v>
      </c>
      <c r="E202" s="24">
        <v>22.187999999999999</v>
      </c>
      <c r="F202" s="24">
        <v>40.637</v>
      </c>
      <c r="G202" s="24">
        <v>48.343000000000004</v>
      </c>
      <c r="H202" s="24">
        <v>70.599999999999994</v>
      </c>
    </row>
    <row r="203" spans="2:16" x14ac:dyDescent="0.55000000000000004">
      <c r="B203" s="14" t="s">
        <v>135</v>
      </c>
      <c r="C203" s="14"/>
      <c r="D203" s="23">
        <f>D204-D200-D201-D202</f>
        <v>0.51800000000000068</v>
      </c>
      <c r="E203" s="23">
        <f>E204-E200-E201-E202</f>
        <v>1.9450000000000038</v>
      </c>
      <c r="F203" s="23">
        <f>F204-F200-F201-F202</f>
        <v>-3.3539999999999992</v>
      </c>
      <c r="G203" s="23">
        <f>G204-G200-G201-G202</f>
        <v>6.1739999999999569</v>
      </c>
      <c r="H203" s="23">
        <f>H204-H200-H201-H202</f>
        <v>-3.1620000000000346</v>
      </c>
      <c r="I203" s="14"/>
      <c r="J203" s="14"/>
      <c r="K203" s="14"/>
      <c r="L203" s="14"/>
      <c r="M203" s="14"/>
      <c r="N203" s="14"/>
      <c r="O203" s="14"/>
    </row>
    <row r="204" spans="2:16" x14ac:dyDescent="0.55000000000000004">
      <c r="B204" t="s">
        <v>252</v>
      </c>
      <c r="D204" s="4">
        <f>D195-D210</f>
        <v>18.023000000000003</v>
      </c>
      <c r="E204" s="4">
        <f>E195-E210</f>
        <v>28.990000000000002</v>
      </c>
      <c r="F204" s="4">
        <f>F195-F210</f>
        <v>46.585000000000008</v>
      </c>
      <c r="G204" s="4">
        <f>G195-G210</f>
        <v>74.19999999999996</v>
      </c>
      <c r="H204" s="4">
        <f t="shared" ref="H204" si="145">H195-H210</f>
        <v>97.20799999999997</v>
      </c>
      <c r="I204" s="4">
        <f>I205*I195</f>
        <v>119.34933134467681</v>
      </c>
      <c r="J204" s="4">
        <f t="shared" ref="J204:O204" si="146">J205*J195</f>
        <v>128.42322869000003</v>
      </c>
      <c r="K204" s="4">
        <f t="shared" si="146"/>
        <v>161.74826351250002</v>
      </c>
      <c r="L204" s="4">
        <f t="shared" si="146"/>
        <v>195.9468958284682</v>
      </c>
      <c r="M204" s="4">
        <f t="shared" si="146"/>
        <v>227.88867991274168</v>
      </c>
      <c r="N204" s="4">
        <f t="shared" si="146"/>
        <v>258.67114982289007</v>
      </c>
      <c r="O204" s="4">
        <f t="shared" si="146"/>
        <v>294.80196133990529</v>
      </c>
    </row>
    <row r="205" spans="2:16" x14ac:dyDescent="0.55000000000000004">
      <c r="B205" t="s">
        <v>1815</v>
      </c>
      <c r="D205" s="2">
        <f>D204/D195</f>
        <v>0.50644898417961615</v>
      </c>
      <c r="E205" s="2">
        <f t="shared" ref="E205:H205" si="147">E204/E195</f>
        <v>0.48369066488696089</v>
      </c>
      <c r="F205" s="2">
        <f t="shared" si="147"/>
        <v>0.35718393228188283</v>
      </c>
      <c r="G205" s="2">
        <f t="shared" si="147"/>
        <v>0.36714497773379501</v>
      </c>
      <c r="H205" s="2">
        <f t="shared" si="147"/>
        <v>0.35104800150230397</v>
      </c>
      <c r="I205" s="400">
        <v>0.41499999999999998</v>
      </c>
      <c r="J205" s="400">
        <v>0.34</v>
      </c>
      <c r="K205" s="400">
        <v>0.34</v>
      </c>
      <c r="L205" s="400">
        <v>0.34</v>
      </c>
      <c r="M205" s="400">
        <v>0.34</v>
      </c>
      <c r="N205" s="400">
        <v>0.34</v>
      </c>
      <c r="O205" s="400">
        <v>0.34</v>
      </c>
    </row>
    <row r="206" spans="2:16" x14ac:dyDescent="0.55000000000000004">
      <c r="B206" s="6" t="s">
        <v>1573</v>
      </c>
      <c r="D206" s="4"/>
      <c r="E206" s="24">
        <v>13.785</v>
      </c>
      <c r="F206" s="24">
        <v>27.535</v>
      </c>
      <c r="G206" s="24">
        <v>42.55</v>
      </c>
      <c r="H206" s="4"/>
      <c r="I206" s="4"/>
      <c r="J206" s="4"/>
      <c r="K206" s="4"/>
      <c r="L206" s="4"/>
      <c r="M206" s="4"/>
      <c r="N206" s="4"/>
      <c r="O206" s="4"/>
    </row>
    <row r="207" spans="2:16" x14ac:dyDescent="0.55000000000000004">
      <c r="B207" s="6" t="s">
        <v>1574</v>
      </c>
      <c r="D207" s="4"/>
      <c r="E207" s="2">
        <f>E206/E204</f>
        <v>0.4755087961365988</v>
      </c>
      <c r="F207" s="2">
        <f>F206/F204</f>
        <v>0.59107008693785545</v>
      </c>
      <c r="G207" s="2">
        <f>G206/G204</f>
        <v>0.5734501347708898</v>
      </c>
      <c r="H207" s="4"/>
      <c r="I207" s="4"/>
      <c r="J207" s="4"/>
      <c r="K207" s="4"/>
      <c r="L207" s="4"/>
      <c r="M207" s="4"/>
      <c r="N207" s="4"/>
      <c r="O207" s="4"/>
    </row>
    <row r="208" spans="2:16" x14ac:dyDescent="0.55000000000000004">
      <c r="B208" s="6" t="s">
        <v>1590</v>
      </c>
      <c r="D208" s="4"/>
      <c r="E208" s="2">
        <f>E206/E191</f>
        <v>0.22110834870478788</v>
      </c>
      <c r="F208" s="2">
        <f>F206/F191</f>
        <v>0.20124393381278136</v>
      </c>
      <c r="G208" s="2">
        <f>G206/G191</f>
        <v>0.20006864870202234</v>
      </c>
      <c r="H208" s="4"/>
      <c r="I208" s="4"/>
      <c r="J208" s="4"/>
      <c r="K208" s="4"/>
      <c r="L208" s="4"/>
      <c r="M208" s="4"/>
      <c r="N208" s="4"/>
      <c r="O208" s="4"/>
    </row>
    <row r="209" spans="2:16" x14ac:dyDescent="0.55000000000000004">
      <c r="H209" s="4"/>
    </row>
    <row r="210" spans="2:16" x14ac:dyDescent="0.55000000000000004">
      <c r="B210" t="s">
        <v>131</v>
      </c>
      <c r="D210" s="24">
        <v>17.564</v>
      </c>
      <c r="E210" s="24">
        <v>30.945</v>
      </c>
      <c r="F210" s="24">
        <v>83.837999999999994</v>
      </c>
      <c r="G210" s="24">
        <v>127.9</v>
      </c>
      <c r="H210" s="24">
        <v>179.7</v>
      </c>
      <c r="I210" s="4">
        <f>I195-I204</f>
        <v>168.2394188834601</v>
      </c>
      <c r="J210" s="4">
        <f t="shared" ref="J210:O210" si="148">J195-J204</f>
        <v>249.29214981000001</v>
      </c>
      <c r="K210" s="4">
        <f t="shared" si="148"/>
        <v>313.98192328897062</v>
      </c>
      <c r="L210" s="4">
        <f t="shared" si="148"/>
        <v>380.36750366702643</v>
      </c>
      <c r="M210" s="4">
        <f t="shared" si="148"/>
        <v>442.37214336002791</v>
      </c>
      <c r="N210" s="4">
        <f t="shared" si="148"/>
        <v>502.12634965619833</v>
      </c>
      <c r="O210" s="4">
        <f t="shared" si="148"/>
        <v>572.26263083628669</v>
      </c>
    </row>
    <row r="211" spans="2:16" x14ac:dyDescent="0.55000000000000004">
      <c r="B211" t="s">
        <v>106</v>
      </c>
      <c r="D211" s="3">
        <f t="shared" ref="D211:O211" si="149">D210/D98</f>
        <v>0.31934545454545454</v>
      </c>
      <c r="E211" s="3">
        <f t="shared" si="149"/>
        <v>0.29754807692307694</v>
      </c>
      <c r="F211" s="3">
        <f t="shared" si="149"/>
        <v>0.34345759934453091</v>
      </c>
      <c r="G211" s="3">
        <f t="shared" si="149"/>
        <v>0.30532346622105516</v>
      </c>
      <c r="H211" s="3">
        <f t="shared" si="149"/>
        <v>0.27629151291512916</v>
      </c>
      <c r="I211" s="3">
        <f t="shared" si="149"/>
        <v>0.2116661834352066</v>
      </c>
      <c r="J211" s="3">
        <f t="shared" si="149"/>
        <v>0.24950862349174147</v>
      </c>
      <c r="K211" s="3">
        <f t="shared" si="149"/>
        <v>0.2497577916042352</v>
      </c>
      <c r="L211" s="3">
        <f t="shared" si="149"/>
        <v>0.24704360069014414</v>
      </c>
      <c r="M211" s="3">
        <f t="shared" si="149"/>
        <v>0.24611095914849926</v>
      </c>
      <c r="N211" s="3">
        <f t="shared" si="149"/>
        <v>0.24534036200548534</v>
      </c>
      <c r="O211" s="3">
        <f t="shared" si="149"/>
        <v>0.24453706948183188</v>
      </c>
    </row>
    <row r="213" spans="2:16" x14ac:dyDescent="0.55000000000000004">
      <c r="B213" s="7" t="s">
        <v>136</v>
      </c>
      <c r="C213" s="7"/>
    </row>
    <row r="214" spans="2:16" x14ac:dyDescent="0.55000000000000004">
      <c r="B214" t="s">
        <v>137</v>
      </c>
      <c r="D214" s="4">
        <v>0.71599999999999997</v>
      </c>
      <c r="E214" s="4">
        <v>7.2949999999999999</v>
      </c>
      <c r="F214" s="4">
        <v>7.59</v>
      </c>
      <c r="G214" s="4">
        <v>8.6839999999999993</v>
      </c>
      <c r="H214" s="29">
        <v>8</v>
      </c>
      <c r="I214" s="29">
        <v>6</v>
      </c>
      <c r="J214" s="29">
        <v>5</v>
      </c>
      <c r="K214" s="29">
        <v>5</v>
      </c>
      <c r="L214" s="29">
        <v>5</v>
      </c>
      <c r="M214" s="29">
        <v>5</v>
      </c>
      <c r="N214" s="29">
        <v>5</v>
      </c>
      <c r="O214" s="29">
        <v>5</v>
      </c>
    </row>
    <row r="215" spans="2:16" x14ac:dyDescent="0.55000000000000004">
      <c r="B215" t="s">
        <v>108</v>
      </c>
      <c r="D215" s="4">
        <v>0.40899999999999997</v>
      </c>
      <c r="E215" s="4">
        <v>0.99199999999999999</v>
      </c>
      <c r="F215" s="4">
        <v>4.7469999999999999</v>
      </c>
      <c r="G215" s="4">
        <v>8.1470000000000002</v>
      </c>
      <c r="H215" s="29">
        <f>H267</f>
        <v>18.3</v>
      </c>
      <c r="I215" s="29">
        <f>I267</f>
        <v>14.379437511406847</v>
      </c>
      <c r="J215" s="29">
        <f t="shared" ref="J215:O215" si="150">J267</f>
        <v>18.885768925000004</v>
      </c>
      <c r="K215" s="29">
        <f t="shared" si="150"/>
        <v>23.786509340073533</v>
      </c>
      <c r="L215" s="29">
        <f t="shared" si="150"/>
        <v>28.815719974774733</v>
      </c>
      <c r="M215" s="29">
        <f t="shared" si="150"/>
        <v>33.513041163638484</v>
      </c>
      <c r="N215" s="29">
        <f t="shared" si="150"/>
        <v>38.039874973954419</v>
      </c>
      <c r="O215" s="29">
        <f t="shared" si="150"/>
        <v>43.353229608809606</v>
      </c>
    </row>
    <row r="216" spans="2:16" x14ac:dyDescent="0.55000000000000004">
      <c r="B216" t="s">
        <v>139</v>
      </c>
      <c r="D216" s="4">
        <f>0.574+0</f>
        <v>0.57399999999999995</v>
      </c>
      <c r="E216" s="4">
        <f>0.453+0.158</f>
        <v>0.61099999999999999</v>
      </c>
      <c r="F216" s="4">
        <v>5.1580000000000004</v>
      </c>
      <c r="G216" s="4">
        <v>8.8999999999999996E-2</v>
      </c>
    </row>
    <row r="217" spans="2:16" x14ac:dyDescent="0.55000000000000004">
      <c r="B217" t="s">
        <v>140</v>
      </c>
      <c r="D217" s="4">
        <v>0.01</v>
      </c>
      <c r="E217" s="4">
        <v>-3.7999999999999999E-2</v>
      </c>
      <c r="F217" s="4">
        <v>0.33400000000000002</v>
      </c>
      <c r="G217" s="4">
        <v>1.0369999999999999</v>
      </c>
    </row>
    <row r="218" spans="2:16" x14ac:dyDescent="0.55000000000000004">
      <c r="B218" t="s">
        <v>141</v>
      </c>
      <c r="D218" s="4">
        <v>0.80700000000000005</v>
      </c>
      <c r="E218" s="4">
        <v>-0.80800000000000005</v>
      </c>
      <c r="F218" s="4">
        <v>3.3000000000000002E-2</v>
      </c>
      <c r="G218" s="4">
        <v>5.5339999999999998</v>
      </c>
    </row>
    <row r="219" spans="2:16" x14ac:dyDescent="0.55000000000000004">
      <c r="B219" t="s">
        <v>142</v>
      </c>
      <c r="D219" s="4">
        <v>0</v>
      </c>
      <c r="E219" s="4">
        <v>2.8959999999999999</v>
      </c>
      <c r="F219" s="4">
        <v>0</v>
      </c>
      <c r="G219" s="4">
        <f>2.104+0.697</f>
        <v>2.8010000000000002</v>
      </c>
      <c r="H219" s="29">
        <v>1.5</v>
      </c>
      <c r="I219" s="29">
        <v>7</v>
      </c>
      <c r="J219" s="29">
        <v>1.5</v>
      </c>
      <c r="K219" s="29">
        <v>1.5</v>
      </c>
      <c r="L219" s="29">
        <v>1.5</v>
      </c>
      <c r="M219" s="29">
        <v>1.5</v>
      </c>
      <c r="N219" s="29">
        <v>1.5</v>
      </c>
      <c r="O219" s="29">
        <v>1.5</v>
      </c>
    </row>
    <row r="220" spans="2:16" x14ac:dyDescent="0.55000000000000004">
      <c r="B220" s="27" t="s">
        <v>143</v>
      </c>
      <c r="C220" s="27"/>
      <c r="D220" s="28">
        <f>D221-SUM(D214:D219)</f>
        <v>-9.9999999999997868E-3</v>
      </c>
      <c r="E220" s="28">
        <f>E221-SUM(E214:E219)</f>
        <v>3.7999999999996703E-2</v>
      </c>
      <c r="F220" s="14"/>
      <c r="G220" s="14"/>
      <c r="H220" s="14"/>
      <c r="I220" s="14"/>
      <c r="J220" s="14"/>
      <c r="K220" s="14"/>
      <c r="L220" s="14"/>
      <c r="M220" s="14"/>
      <c r="N220" s="14"/>
      <c r="O220" s="14"/>
    </row>
    <row r="221" spans="2:16" x14ac:dyDescent="0.55000000000000004">
      <c r="B221" t="s">
        <v>138</v>
      </c>
      <c r="D221" s="4">
        <f>D223-D210</f>
        <v>2.5060000000000002</v>
      </c>
      <c r="E221" s="4">
        <f>E223-E210</f>
        <v>10.985999999999997</v>
      </c>
      <c r="F221" s="4">
        <f>SUM(F214:F220)</f>
        <v>17.862000000000002</v>
      </c>
      <c r="G221" s="4">
        <f t="shared" ref="G221:O221" si="151">SUM(G214:G220)</f>
        <v>26.291999999999994</v>
      </c>
      <c r="H221" s="4">
        <f t="shared" si="151"/>
        <v>27.8</v>
      </c>
      <c r="I221" s="4">
        <f t="shared" si="151"/>
        <v>27.379437511406849</v>
      </c>
      <c r="J221" s="4">
        <f t="shared" si="151"/>
        <v>25.385768925000004</v>
      </c>
      <c r="K221" s="4">
        <f t="shared" si="151"/>
        <v>30.286509340073533</v>
      </c>
      <c r="L221" s="4">
        <f t="shared" si="151"/>
        <v>35.315719974774737</v>
      </c>
      <c r="M221" s="4">
        <f t="shared" si="151"/>
        <v>40.013041163638484</v>
      </c>
      <c r="N221" s="4">
        <f t="shared" si="151"/>
        <v>44.539874973954419</v>
      </c>
      <c r="O221" s="4">
        <f t="shared" si="151"/>
        <v>49.853229608809606</v>
      </c>
    </row>
    <row r="222" spans="2:16" x14ac:dyDescent="0.55000000000000004">
      <c r="B222" s="7"/>
      <c r="C222" s="7"/>
      <c r="H222" s="4"/>
      <c r="I222" s="4"/>
      <c r="J222" s="4"/>
    </row>
    <row r="223" spans="2:16" x14ac:dyDescent="0.55000000000000004">
      <c r="B223" s="10" t="s">
        <v>1162</v>
      </c>
      <c r="C223" s="10"/>
      <c r="D223" s="398">
        <v>20.07</v>
      </c>
      <c r="E223" s="398">
        <v>41.930999999999997</v>
      </c>
      <c r="F223" s="398">
        <v>99.2</v>
      </c>
      <c r="G223" s="398">
        <v>153.07499999999999</v>
      </c>
      <c r="H223" s="398">
        <v>202.3</v>
      </c>
      <c r="I223" s="49">
        <f>I210+I221</f>
        <v>195.61885639486695</v>
      </c>
      <c r="J223" s="49">
        <f t="shared" ref="J223:O223" si="152">J210+J221</f>
        <v>274.67791873499999</v>
      </c>
      <c r="K223" s="49">
        <f t="shared" si="152"/>
        <v>344.26843262904413</v>
      </c>
      <c r="L223" s="49">
        <f t="shared" si="152"/>
        <v>415.68322364180119</v>
      </c>
      <c r="M223" s="49">
        <f t="shared" si="152"/>
        <v>482.3851845236664</v>
      </c>
      <c r="N223" s="49">
        <f t="shared" si="152"/>
        <v>546.66622463015278</v>
      </c>
      <c r="O223" s="49">
        <f t="shared" si="152"/>
        <v>622.11586044509625</v>
      </c>
      <c r="P223" s="344">
        <f>(K223/H223)^(1/3)-1</f>
        <v>0.19389767516256051</v>
      </c>
    </row>
    <row r="224" spans="2:16" x14ac:dyDescent="0.55000000000000004">
      <c r="B224" t="s">
        <v>1361</v>
      </c>
      <c r="D224" s="2">
        <f>D223/D98</f>
        <v>0.36490909090909091</v>
      </c>
      <c r="E224" s="2">
        <f>E223/E98</f>
        <v>0.40318269230769227</v>
      </c>
      <c r="F224" s="2">
        <f>F223/F98</f>
        <v>0.4063908234330193</v>
      </c>
      <c r="G224" s="2">
        <f>G223/G98</f>
        <v>0.36542134160897588</v>
      </c>
      <c r="H224" s="2">
        <f>H223/H98</f>
        <v>0.31103936039360397</v>
      </c>
      <c r="I224" s="2">
        <f t="shared" ref="I224:O224" si="153">I223/I98</f>
        <v>0.24611293248547905</v>
      </c>
      <c r="J224" s="2">
        <f t="shared" si="153"/>
        <v>0.27491643623507755</v>
      </c>
      <c r="K224" s="2">
        <f t="shared" si="153"/>
        <v>0.27384927944831744</v>
      </c>
      <c r="L224" s="2">
        <f t="shared" si="153"/>
        <v>0.2699806879529158</v>
      </c>
      <c r="M224" s="2">
        <f t="shared" si="153"/>
        <v>0.26837196289171389</v>
      </c>
      <c r="N224" s="2">
        <f t="shared" si="153"/>
        <v>0.26710267154624329</v>
      </c>
      <c r="O224" s="2">
        <f t="shared" si="153"/>
        <v>0.26584016008365519</v>
      </c>
    </row>
    <row r="225" spans="2:16" x14ac:dyDescent="0.55000000000000004">
      <c r="B225" t="s">
        <v>1360</v>
      </c>
      <c r="D225" s="3">
        <f>D223/D195</f>
        <v>0.56396998904094187</v>
      </c>
      <c r="E225" s="3">
        <f t="shared" ref="E225:O225" si="154">E223/E195</f>
        <v>0.6996079085676149</v>
      </c>
      <c r="F225" s="3">
        <f t="shared" si="154"/>
        <v>0.76060204105104168</v>
      </c>
      <c r="G225" s="3">
        <f t="shared" si="154"/>
        <v>0.75742206828302827</v>
      </c>
      <c r="H225" s="3">
        <f t="shared" si="154"/>
        <v>0.73056755312233679</v>
      </c>
      <c r="I225" s="3">
        <f t="shared" si="154"/>
        <v>0.68020343716396225</v>
      </c>
      <c r="J225" s="3">
        <f t="shared" si="154"/>
        <v>0.72720872479646725</v>
      </c>
      <c r="K225" s="3">
        <f t="shared" si="154"/>
        <v>0.7236632069612865</v>
      </c>
      <c r="L225" s="3">
        <f t="shared" si="154"/>
        <v>0.72127856601481777</v>
      </c>
      <c r="M225" s="3">
        <f t="shared" si="154"/>
        <v>0.71969771732780319</v>
      </c>
      <c r="N225" s="3">
        <f t="shared" si="154"/>
        <v>0.71854366635596267</v>
      </c>
      <c r="O225" s="3">
        <f t="shared" si="154"/>
        <v>0.71749655799423884</v>
      </c>
    </row>
    <row r="227" spans="2:16" x14ac:dyDescent="0.55000000000000004">
      <c r="B227" t="s">
        <v>144</v>
      </c>
      <c r="D227" s="24">
        <f>-0.279+0.003-0.01</f>
        <v>-0.28600000000000003</v>
      </c>
      <c r="E227" s="24">
        <f>-0.502+0.067-0.038</f>
        <v>-0.47299999999999998</v>
      </c>
      <c r="F227" s="24">
        <f>-2.54+0.544+0.334</f>
        <v>-1.6619999999999999</v>
      </c>
      <c r="G227" s="24">
        <v>6.59</v>
      </c>
      <c r="H227" s="24">
        <f>-128+117+12</f>
        <v>1</v>
      </c>
      <c r="I227" s="29">
        <v>5</v>
      </c>
      <c r="J227" s="29">
        <v>5</v>
      </c>
      <c r="K227" s="29">
        <v>5</v>
      </c>
      <c r="L227" s="29">
        <v>5</v>
      </c>
      <c r="M227" s="29">
        <v>5</v>
      </c>
      <c r="N227" s="29">
        <v>5</v>
      </c>
      <c r="O227" s="29">
        <v>5</v>
      </c>
    </row>
    <row r="228" spans="2:16" x14ac:dyDescent="0.55000000000000004">
      <c r="B228" t="s">
        <v>57</v>
      </c>
    </row>
    <row r="230" spans="2:16" x14ac:dyDescent="0.55000000000000004">
      <c r="B230" t="s">
        <v>109</v>
      </c>
      <c r="D230" s="4">
        <f>D210-D227</f>
        <v>17.850000000000001</v>
      </c>
      <c r="E230" s="4">
        <f>E210-E227</f>
        <v>31.417999999999999</v>
      </c>
      <c r="F230" s="4">
        <f>F210-F227</f>
        <v>85.5</v>
      </c>
      <c r="G230" s="4">
        <f t="shared" ref="G230:O230" si="155">G210-G227</f>
        <v>121.31</v>
      </c>
      <c r="H230" s="4">
        <f t="shared" si="155"/>
        <v>178.7</v>
      </c>
      <c r="I230" s="4">
        <f t="shared" si="155"/>
        <v>163.2394188834601</v>
      </c>
      <c r="J230" s="4">
        <f t="shared" si="155"/>
        <v>244.29214981000001</v>
      </c>
      <c r="K230" s="4">
        <f t="shared" si="155"/>
        <v>308.98192328897062</v>
      </c>
      <c r="L230" s="4">
        <f t="shared" si="155"/>
        <v>375.36750366702643</v>
      </c>
      <c r="M230" s="4">
        <f t="shared" si="155"/>
        <v>437.37214336002791</v>
      </c>
      <c r="N230" s="4">
        <f t="shared" si="155"/>
        <v>497.12634965619833</v>
      </c>
      <c r="O230" s="4">
        <f t="shared" si="155"/>
        <v>567.26263083628669</v>
      </c>
    </row>
    <row r="231" spans="2:16" x14ac:dyDescent="0.55000000000000004">
      <c r="B231" t="s">
        <v>111</v>
      </c>
      <c r="D231" s="24">
        <v>2.2210000000000001</v>
      </c>
      <c r="E231" s="24">
        <v>3.2309999999999999</v>
      </c>
      <c r="F231" s="24">
        <v>7.6470000000000002</v>
      </c>
      <c r="G231" s="24">
        <v>11.586</v>
      </c>
      <c r="H231" s="24">
        <v>29.4</v>
      </c>
      <c r="I231" s="4">
        <f t="shared" ref="I231:O231" si="156">I232*I230</f>
        <v>32.647883776692019</v>
      </c>
      <c r="J231" s="4">
        <f t="shared" si="156"/>
        <v>48.858429962000002</v>
      </c>
      <c r="K231" s="4">
        <f t="shared" si="156"/>
        <v>61.796384657794128</v>
      </c>
      <c r="L231" s="4">
        <f t="shared" si="156"/>
        <v>75.073500733405282</v>
      </c>
      <c r="M231" s="4">
        <f t="shared" si="156"/>
        <v>87.474428672005587</v>
      </c>
      <c r="N231" s="4">
        <f t="shared" si="156"/>
        <v>99.425269931239669</v>
      </c>
      <c r="O231" s="4">
        <f t="shared" si="156"/>
        <v>113.45252616725735</v>
      </c>
    </row>
    <row r="232" spans="2:16" x14ac:dyDescent="0.55000000000000004">
      <c r="B232" t="s">
        <v>57</v>
      </c>
      <c r="D232" s="2">
        <f>D231/D230</f>
        <v>0.12442577030812324</v>
      </c>
      <c r="E232" s="2">
        <f>E231/E230</f>
        <v>0.10283913680056019</v>
      </c>
      <c r="F232" s="2">
        <f>F231/F230</f>
        <v>8.9438596491228067E-2</v>
      </c>
      <c r="G232" s="2">
        <f>G231/G230</f>
        <v>9.550737779243261E-2</v>
      </c>
      <c r="H232" s="2">
        <f>H231/H230</f>
        <v>0.16452154448796866</v>
      </c>
      <c r="I232" s="19">
        <v>0.2</v>
      </c>
      <c r="J232" s="19">
        <v>0.2</v>
      </c>
      <c r="K232" s="19">
        <v>0.2</v>
      </c>
      <c r="L232" s="19">
        <v>0.2</v>
      </c>
      <c r="M232" s="19">
        <v>0.2</v>
      </c>
      <c r="N232" s="19">
        <v>0.2</v>
      </c>
      <c r="O232" s="19">
        <v>0.2</v>
      </c>
    </row>
    <row r="234" spans="2:16" x14ac:dyDescent="0.55000000000000004">
      <c r="B234" t="s">
        <v>110</v>
      </c>
      <c r="D234" s="4">
        <f>D230-D231</f>
        <v>15.629000000000001</v>
      </c>
      <c r="E234" s="4">
        <f>E230-E231</f>
        <v>28.186999999999998</v>
      </c>
      <c r="F234" s="4">
        <f t="shared" ref="F234:O234" si="157">F230-F231</f>
        <v>77.852999999999994</v>
      </c>
      <c r="G234" s="4">
        <f t="shared" si="157"/>
        <v>109.724</v>
      </c>
      <c r="H234" s="4">
        <f t="shared" si="157"/>
        <v>149.29999999999998</v>
      </c>
      <c r="I234" s="4">
        <f t="shared" si="157"/>
        <v>130.59153510676808</v>
      </c>
      <c r="J234" s="4">
        <f t="shared" si="157"/>
        <v>195.43371984800001</v>
      </c>
      <c r="K234" s="4">
        <f t="shared" si="157"/>
        <v>247.18553863117648</v>
      </c>
      <c r="L234" s="4">
        <f t="shared" si="157"/>
        <v>300.29400293362113</v>
      </c>
      <c r="M234" s="4">
        <f t="shared" si="157"/>
        <v>349.89771468802235</v>
      </c>
      <c r="N234" s="4">
        <f t="shared" si="157"/>
        <v>397.70107972495867</v>
      </c>
      <c r="O234" s="4">
        <f t="shared" si="157"/>
        <v>453.81010466902933</v>
      </c>
      <c r="P234" s="2">
        <f>(K234/H234)^(1/3)-1</f>
        <v>0.18300818782980732</v>
      </c>
    </row>
    <row r="235" spans="2:16" x14ac:dyDescent="0.55000000000000004">
      <c r="B235" t="s">
        <v>295</v>
      </c>
      <c r="D235" s="2">
        <f t="shared" ref="D235:O235" si="158">D234/D98</f>
        <v>0.2841636363636364</v>
      </c>
      <c r="E235" s="2">
        <f t="shared" si="158"/>
        <v>0.27102884615384615</v>
      </c>
      <c r="F235" s="2">
        <f t="shared" si="158"/>
        <v>0.31893895944285128</v>
      </c>
      <c r="G235" s="2">
        <f t="shared" si="158"/>
        <v>0.2619336357125806</v>
      </c>
      <c r="H235" s="2">
        <f t="shared" si="158"/>
        <v>0.22955104551045508</v>
      </c>
      <c r="I235" s="2">
        <f t="shared" si="158"/>
        <v>0.16430044759095341</v>
      </c>
      <c r="J235" s="2">
        <f t="shared" si="158"/>
        <v>0.19560342537985959</v>
      </c>
      <c r="K235" s="2">
        <f t="shared" si="158"/>
        <v>0.19662442219072376</v>
      </c>
      <c r="L235" s="2">
        <f t="shared" si="158"/>
        <v>0.19503693411022993</v>
      </c>
      <c r="M235" s="2">
        <f t="shared" si="158"/>
        <v>0.19466339248141323</v>
      </c>
      <c r="N235" s="2">
        <f t="shared" si="158"/>
        <v>0.19431787823224286</v>
      </c>
      <c r="O235" s="2">
        <f t="shared" si="158"/>
        <v>0.19392039094853142</v>
      </c>
    </row>
    <row r="236" spans="2:16" x14ac:dyDescent="0.55000000000000004">
      <c r="B236" t="s">
        <v>296</v>
      </c>
      <c r="D236" s="2">
        <f>D234/D191</f>
        <v>0.42639275386042458</v>
      </c>
      <c r="E236" s="2">
        <f>E234/E191</f>
        <v>0.45211324083727644</v>
      </c>
      <c r="F236" s="2">
        <f t="shared" ref="F236:O236" si="159">F234/F191</f>
        <v>0.56900105244693899</v>
      </c>
      <c r="G236" s="2">
        <f t="shared" si="159"/>
        <v>0.51591850552716101</v>
      </c>
      <c r="H236" s="2">
        <f t="shared" si="159"/>
        <v>0.50613944090745755</v>
      </c>
      <c r="I236" s="2">
        <f t="shared" si="159"/>
        <v>0.3703071347839933</v>
      </c>
      <c r="J236" s="2">
        <f t="shared" si="159"/>
        <v>0.43128798712805938</v>
      </c>
      <c r="K236" s="2">
        <f t="shared" si="159"/>
        <v>0.43353919340712443</v>
      </c>
      <c r="L236" s="2">
        <f t="shared" si="159"/>
        <v>0.4300389247513155</v>
      </c>
      <c r="M236" s="2">
        <f t="shared" si="159"/>
        <v>0.42921529900504846</v>
      </c>
      <c r="N236" s="2">
        <f t="shared" si="159"/>
        <v>0.4284534711139501</v>
      </c>
      <c r="O236" s="2">
        <f t="shared" si="159"/>
        <v>0.42757704734903901</v>
      </c>
    </row>
    <row r="237" spans="2:16" x14ac:dyDescent="0.55000000000000004">
      <c r="B237" t="s">
        <v>301</v>
      </c>
      <c r="D237" s="4">
        <f>D234+D214+D216+D218</f>
        <v>17.726000000000003</v>
      </c>
      <c r="E237" s="4">
        <f t="shared" ref="E237:O237" si="160">E234+E214+E216+E218</f>
        <v>35.284999999999997</v>
      </c>
      <c r="F237" s="4">
        <f t="shared" si="160"/>
        <v>90.634</v>
      </c>
      <c r="G237" s="4">
        <f t="shared" si="160"/>
        <v>124.03100000000001</v>
      </c>
      <c r="H237" s="4">
        <f t="shared" si="160"/>
        <v>157.29999999999998</v>
      </c>
      <c r="I237" s="4">
        <f t="shared" si="160"/>
        <v>136.59153510676808</v>
      </c>
      <c r="J237" s="4">
        <f t="shared" si="160"/>
        <v>200.43371984800001</v>
      </c>
      <c r="K237" s="4">
        <f t="shared" si="160"/>
        <v>252.18553863117648</v>
      </c>
      <c r="L237" s="4">
        <f t="shared" si="160"/>
        <v>305.29400293362113</v>
      </c>
      <c r="M237" s="4">
        <f t="shared" si="160"/>
        <v>354.89771468802235</v>
      </c>
      <c r="N237" s="4">
        <f t="shared" si="160"/>
        <v>402.70107972495867</v>
      </c>
      <c r="O237" s="4">
        <f t="shared" si="160"/>
        <v>458.81010466902933</v>
      </c>
      <c r="P237" s="2">
        <f>(K237/H237)^(1/3)-1</f>
        <v>0.17038968444245262</v>
      </c>
    </row>
    <row r="238" spans="2:16" x14ac:dyDescent="0.55000000000000004">
      <c r="B238" t="s">
        <v>106</v>
      </c>
      <c r="D238" s="2">
        <f t="shared" ref="D238:O238" si="161">D237/D98</f>
        <v>0.32229090909090913</v>
      </c>
      <c r="E238" s="2">
        <f t="shared" si="161"/>
        <v>0.33927884615384613</v>
      </c>
      <c r="F238" s="2">
        <f t="shared" si="161"/>
        <v>0.37129864809504304</v>
      </c>
      <c r="G238" s="2">
        <f t="shared" si="161"/>
        <v>0.29608737168775368</v>
      </c>
      <c r="H238" s="2">
        <f t="shared" si="161"/>
        <v>0.24185116851168509</v>
      </c>
      <c r="I238" s="2">
        <f t="shared" si="161"/>
        <v>0.1718491963267712</v>
      </c>
      <c r="J238" s="2">
        <f t="shared" si="161"/>
        <v>0.20060776714677656</v>
      </c>
      <c r="K238" s="2">
        <f t="shared" si="161"/>
        <v>0.20060168605655423</v>
      </c>
      <c r="L238" s="2">
        <f t="shared" si="161"/>
        <v>0.19828436716258666</v>
      </c>
      <c r="M238" s="2">
        <f t="shared" si="161"/>
        <v>0.19744511102814596</v>
      </c>
      <c r="N238" s="2">
        <f t="shared" si="161"/>
        <v>0.19676089244742462</v>
      </c>
      <c r="O238" s="2">
        <f t="shared" si="161"/>
        <v>0.19605697174469902</v>
      </c>
    </row>
    <row r="240" spans="2:16" x14ac:dyDescent="0.55000000000000004">
      <c r="B240" s="10" t="s">
        <v>166</v>
      </c>
      <c r="E240" s="1">
        <f t="shared" ref="E240:O240" si="162">E94</f>
        <v>2020</v>
      </c>
      <c r="F240" s="1">
        <f t="shared" si="162"/>
        <v>2021</v>
      </c>
      <c r="G240" s="1">
        <f t="shared" si="162"/>
        <v>2022</v>
      </c>
      <c r="H240" s="1">
        <f t="shared" si="162"/>
        <v>2023</v>
      </c>
      <c r="I240" s="1">
        <f t="shared" si="162"/>
        <v>2024</v>
      </c>
      <c r="J240" s="1">
        <f t="shared" si="162"/>
        <v>2025</v>
      </c>
      <c r="K240" s="1">
        <f t="shared" si="162"/>
        <v>2026</v>
      </c>
      <c r="L240" s="1">
        <f t="shared" si="162"/>
        <v>2027</v>
      </c>
      <c r="M240" s="1">
        <f t="shared" si="162"/>
        <v>2028</v>
      </c>
      <c r="N240" s="1">
        <f t="shared" si="162"/>
        <v>2029</v>
      </c>
      <c r="O240" s="1">
        <f t="shared" si="162"/>
        <v>2030</v>
      </c>
    </row>
    <row r="241" spans="2:15" x14ac:dyDescent="0.55000000000000004">
      <c r="B241" t="s">
        <v>369</v>
      </c>
      <c r="F241" s="4">
        <f>F243-F242</f>
        <v>144.22276500000001</v>
      </c>
      <c r="G241" s="4">
        <f ca="1">G243-G242</f>
        <v>147.47099999999998</v>
      </c>
      <c r="H241" s="24">
        <v>161.93700000000001</v>
      </c>
      <c r="I241" s="4">
        <f t="shared" ref="I241:O241" si="163">I251</f>
        <v>161.93700000000001</v>
      </c>
      <c r="J241" s="4">
        <f t="shared" si="163"/>
        <v>161.93700000000001</v>
      </c>
      <c r="K241" s="4">
        <f t="shared" si="163"/>
        <v>161.93700000000001</v>
      </c>
      <c r="L241" s="4">
        <f t="shared" si="163"/>
        <v>161.93700000000001</v>
      </c>
      <c r="M241" s="4">
        <f t="shared" si="163"/>
        <v>161.93700000000001</v>
      </c>
      <c r="N241" s="4">
        <f t="shared" si="163"/>
        <v>161.93700000000001</v>
      </c>
      <c r="O241" s="4">
        <f t="shared" si="163"/>
        <v>161.93700000000001</v>
      </c>
    </row>
    <row r="242" spans="2:15" x14ac:dyDescent="0.55000000000000004">
      <c r="B242" s="14" t="s">
        <v>371</v>
      </c>
      <c r="C242" s="14"/>
      <c r="D242" s="14"/>
      <c r="E242" s="14"/>
      <c r="F242" s="25">
        <v>148.69300000000001</v>
      </c>
      <c r="G242" s="23">
        <f ca="1">G253</f>
        <v>148.69300000000001</v>
      </c>
      <c r="H242" s="25">
        <v>134.054</v>
      </c>
      <c r="I242" s="23">
        <f t="shared" ref="I242:O242" si="164">I253</f>
        <v>114.054</v>
      </c>
      <c r="J242" s="23">
        <f t="shared" si="164"/>
        <v>114.054</v>
      </c>
      <c r="K242" s="23">
        <f t="shared" si="164"/>
        <v>114.054</v>
      </c>
      <c r="L242" s="23">
        <f t="shared" si="164"/>
        <v>114.054</v>
      </c>
      <c r="M242" s="23">
        <f t="shared" si="164"/>
        <v>114.054</v>
      </c>
      <c r="N242" s="23">
        <f t="shared" si="164"/>
        <v>114.054</v>
      </c>
      <c r="O242" s="23">
        <f t="shared" si="164"/>
        <v>114.054</v>
      </c>
    </row>
    <row r="243" spans="2:15" x14ac:dyDescent="0.55000000000000004">
      <c r="B243" t="s">
        <v>2121</v>
      </c>
      <c r="E243" s="4">
        <f>E250+E253</f>
        <v>178.10476500000001</v>
      </c>
      <c r="F243" s="24">
        <v>292.91576500000002</v>
      </c>
      <c r="G243" s="24">
        <v>296.16399999999999</v>
      </c>
      <c r="H243" s="4">
        <f>H241+H242</f>
        <v>295.99099999999999</v>
      </c>
      <c r="I243" s="4">
        <f t="shared" ref="I243:O243" si="165">I241+I242</f>
        <v>275.99099999999999</v>
      </c>
      <c r="J243" s="4">
        <f t="shared" si="165"/>
        <v>275.99099999999999</v>
      </c>
      <c r="K243" s="4">
        <f t="shared" si="165"/>
        <v>275.99099999999999</v>
      </c>
      <c r="L243" s="4">
        <f t="shared" si="165"/>
        <v>275.99099999999999</v>
      </c>
      <c r="M243" s="4">
        <f t="shared" si="165"/>
        <v>275.99099999999999</v>
      </c>
      <c r="N243" s="4">
        <f t="shared" si="165"/>
        <v>275.99099999999999</v>
      </c>
      <c r="O243" s="4">
        <f t="shared" si="165"/>
        <v>275.99099999999999</v>
      </c>
    </row>
    <row r="245" spans="2:15" x14ac:dyDescent="0.55000000000000004">
      <c r="B245" t="s">
        <v>2122</v>
      </c>
      <c r="H245" s="24">
        <v>7.1710000000000003</v>
      </c>
      <c r="I245" s="4">
        <f>H245+I256</f>
        <v>27.170999999999999</v>
      </c>
      <c r="J245" s="4">
        <f t="shared" ref="J245:O245" si="166">I245+J256</f>
        <v>27.170999999999999</v>
      </c>
      <c r="K245" s="4">
        <f t="shared" si="166"/>
        <v>27.170999999999999</v>
      </c>
      <c r="L245" s="4">
        <f t="shared" si="166"/>
        <v>27.170999999999999</v>
      </c>
      <c r="M245" s="4">
        <f t="shared" si="166"/>
        <v>27.170999999999999</v>
      </c>
      <c r="N245" s="4">
        <f t="shared" si="166"/>
        <v>27.170999999999999</v>
      </c>
      <c r="O245" s="4">
        <f t="shared" si="166"/>
        <v>27.170999999999999</v>
      </c>
    </row>
    <row r="246" spans="2:15" x14ac:dyDescent="0.55000000000000004">
      <c r="B246" t="s">
        <v>2123</v>
      </c>
      <c r="H246" s="4">
        <f>H243+H245</f>
        <v>303.16199999999998</v>
      </c>
      <c r="I246" s="4">
        <f t="shared" ref="I246:O246" si="167">I243+I245</f>
        <v>303.16199999999998</v>
      </c>
      <c r="J246" s="4">
        <f t="shared" si="167"/>
        <v>303.16199999999998</v>
      </c>
      <c r="K246" s="4">
        <f t="shared" si="167"/>
        <v>303.16199999999998</v>
      </c>
      <c r="L246" s="4">
        <f t="shared" si="167"/>
        <v>303.16199999999998</v>
      </c>
      <c r="M246" s="4">
        <f t="shared" si="167"/>
        <v>303.16199999999998</v>
      </c>
      <c r="N246" s="4">
        <f t="shared" si="167"/>
        <v>303.16199999999998</v>
      </c>
      <c r="O246" s="4">
        <f t="shared" si="167"/>
        <v>303.16199999999998</v>
      </c>
    </row>
    <row r="248" spans="2:15" x14ac:dyDescent="0.55000000000000004">
      <c r="B248" t="s">
        <v>1739</v>
      </c>
      <c r="F248" s="4">
        <f>F250-F249</f>
        <v>4.411764999999999</v>
      </c>
      <c r="G248" s="4">
        <f>G243-F243</f>
        <v>3.2482349999999656</v>
      </c>
      <c r="H248" s="29">
        <v>-8</v>
      </c>
      <c r="I248" s="29">
        <v>0</v>
      </c>
      <c r="J248" s="29">
        <v>0</v>
      </c>
      <c r="K248" s="29">
        <v>0</v>
      </c>
      <c r="L248" s="29">
        <v>0</v>
      </c>
      <c r="M248" s="29">
        <v>0</v>
      </c>
      <c r="N248" s="29">
        <v>0</v>
      </c>
      <c r="O248" s="29">
        <v>0</v>
      </c>
    </row>
    <row r="249" spans="2:15" x14ac:dyDescent="0.55000000000000004">
      <c r="B249" t="s">
        <v>168</v>
      </c>
      <c r="F249" s="24">
        <v>29.411764999999999</v>
      </c>
      <c r="H249" s="29"/>
    </row>
    <row r="250" spans="2:15" x14ac:dyDescent="0.55000000000000004">
      <c r="B250" t="s">
        <v>370</v>
      </c>
      <c r="E250" s="4">
        <f>F250-F248</f>
        <v>29.411764999999999</v>
      </c>
      <c r="F250" s="24">
        <v>33.823529999999998</v>
      </c>
      <c r="G250" s="4"/>
      <c r="H250" s="4"/>
      <c r="I250" s="4"/>
      <c r="J250" s="4"/>
      <c r="K250" s="4"/>
      <c r="L250" s="4"/>
      <c r="M250" s="4"/>
      <c r="N250" s="4"/>
      <c r="O250" s="4"/>
    </row>
    <row r="251" spans="2:15" x14ac:dyDescent="0.55000000000000004">
      <c r="B251" t="s">
        <v>372</v>
      </c>
      <c r="E251" s="4"/>
      <c r="F251" s="4">
        <f>F241</f>
        <v>144.22276500000001</v>
      </c>
      <c r="G251" s="4">
        <f ca="1">G241</f>
        <v>147.47099999999998</v>
      </c>
      <c r="H251" s="4">
        <f>H241</f>
        <v>161.93700000000001</v>
      </c>
      <c r="I251" s="4">
        <f t="shared" ref="I251:O251" si="168">H251+I248</f>
        <v>161.93700000000001</v>
      </c>
      <c r="J251" s="4">
        <f t="shared" si="168"/>
        <v>161.93700000000001</v>
      </c>
      <c r="K251" s="4">
        <f t="shared" si="168"/>
        <v>161.93700000000001</v>
      </c>
      <c r="L251" s="4">
        <f t="shared" si="168"/>
        <v>161.93700000000001</v>
      </c>
      <c r="M251" s="4">
        <f t="shared" si="168"/>
        <v>161.93700000000001</v>
      </c>
      <c r="N251" s="4">
        <f t="shared" si="168"/>
        <v>161.93700000000001</v>
      </c>
      <c r="O251" s="4">
        <f t="shared" si="168"/>
        <v>161.93700000000001</v>
      </c>
    </row>
    <row r="253" spans="2:15" x14ac:dyDescent="0.55000000000000004">
      <c r="B253" t="s">
        <v>171</v>
      </c>
      <c r="E253" s="4">
        <f>F253</f>
        <v>148.69300000000001</v>
      </c>
      <c r="F253" s="4">
        <f>F242</f>
        <v>148.69300000000001</v>
      </c>
      <c r="G253" s="4">
        <f ca="1">G242</f>
        <v>148.69300000000001</v>
      </c>
      <c r="H253" s="4">
        <f>H242</f>
        <v>134.054</v>
      </c>
      <c r="I253" s="4">
        <f>H253+I255-I256</f>
        <v>114.054</v>
      </c>
      <c r="J253" s="4">
        <f t="shared" ref="J253:O253" si="169">I253+J255-J256</f>
        <v>114.054</v>
      </c>
      <c r="K253" s="4">
        <f t="shared" si="169"/>
        <v>114.054</v>
      </c>
      <c r="L253" s="4">
        <f t="shared" si="169"/>
        <v>114.054</v>
      </c>
      <c r="M253" s="4">
        <f t="shared" si="169"/>
        <v>114.054</v>
      </c>
      <c r="N253" s="4">
        <f t="shared" si="169"/>
        <v>114.054</v>
      </c>
      <c r="O253" s="4">
        <f t="shared" si="169"/>
        <v>114.054</v>
      </c>
    </row>
    <row r="254" spans="2:15" x14ac:dyDescent="0.55000000000000004">
      <c r="B254" t="s">
        <v>57</v>
      </c>
      <c r="F254" s="2">
        <f>F253/F243</f>
        <v>0.5076305810989723</v>
      </c>
      <c r="G254" s="2">
        <f t="shared" ref="G254:O254" ca="1" si="170">G253/G243</f>
        <v>0.50206304615010611</v>
      </c>
      <c r="H254" s="2">
        <f t="shared" si="170"/>
        <v>0.45289890570997093</v>
      </c>
      <c r="I254" s="2">
        <f t="shared" si="170"/>
        <v>0.41325260606324121</v>
      </c>
      <c r="J254" s="2">
        <f t="shared" si="170"/>
        <v>0.41325260606324121</v>
      </c>
      <c r="K254" s="2">
        <f t="shared" si="170"/>
        <v>0.41325260606324121</v>
      </c>
      <c r="L254" s="2">
        <f t="shared" si="170"/>
        <v>0.41325260606324121</v>
      </c>
      <c r="M254" s="2">
        <f t="shared" si="170"/>
        <v>0.41325260606324121</v>
      </c>
      <c r="N254" s="2">
        <f t="shared" si="170"/>
        <v>0.41325260606324121</v>
      </c>
      <c r="O254" s="2">
        <f t="shared" si="170"/>
        <v>0.41325260606324121</v>
      </c>
    </row>
    <row r="255" spans="2:15" x14ac:dyDescent="0.55000000000000004">
      <c r="B255" t="s">
        <v>172</v>
      </c>
      <c r="F255" s="2"/>
      <c r="G255" s="2"/>
      <c r="H255" s="2"/>
      <c r="I255" s="29">
        <v>0</v>
      </c>
      <c r="J255" s="29">
        <v>0</v>
      </c>
      <c r="K255" s="29">
        <v>0</v>
      </c>
      <c r="L255" s="29">
        <v>0</v>
      </c>
      <c r="M255" s="29">
        <v>0</v>
      </c>
      <c r="N255" s="29">
        <v>0</v>
      </c>
      <c r="O255" s="29">
        <v>0</v>
      </c>
    </row>
    <row r="256" spans="2:15" x14ac:dyDescent="0.55000000000000004">
      <c r="B256" t="s">
        <v>1048</v>
      </c>
      <c r="F256" s="2"/>
      <c r="G256" s="2"/>
      <c r="H256" s="2"/>
      <c r="I256" s="29">
        <v>20</v>
      </c>
      <c r="J256" s="29">
        <v>0</v>
      </c>
      <c r="K256" s="29">
        <v>0</v>
      </c>
      <c r="L256" s="29">
        <v>0</v>
      </c>
      <c r="M256" s="29">
        <v>0</v>
      </c>
      <c r="N256" s="29">
        <v>0</v>
      </c>
      <c r="O256" s="29">
        <v>0</v>
      </c>
    </row>
    <row r="257" spans="2:15" x14ac:dyDescent="0.55000000000000004">
      <c r="B257" t="s">
        <v>2124</v>
      </c>
      <c r="F257" s="2"/>
      <c r="G257" s="2"/>
      <c r="H257" s="2"/>
      <c r="I257" s="426">
        <v>10</v>
      </c>
      <c r="J257" s="29"/>
      <c r="K257" s="29"/>
      <c r="L257" s="29"/>
      <c r="M257" s="29"/>
      <c r="N257" s="29"/>
      <c r="O257" s="29"/>
    </row>
    <row r="259" spans="2:15" x14ac:dyDescent="0.55000000000000004">
      <c r="B259" t="s">
        <v>167</v>
      </c>
      <c r="F259" s="24">
        <v>21</v>
      </c>
    </row>
    <row r="260" spans="2:15" x14ac:dyDescent="0.55000000000000004">
      <c r="B260" t="s">
        <v>169</v>
      </c>
      <c r="F260" s="4">
        <f>F250*F259</f>
        <v>710.29413</v>
      </c>
    </row>
    <row r="261" spans="2:15" x14ac:dyDescent="0.55000000000000004">
      <c r="B261" s="6" t="s">
        <v>170</v>
      </c>
      <c r="C261" s="6"/>
      <c r="F261" s="4">
        <f>F259*F248</f>
        <v>92.647064999999984</v>
      </c>
    </row>
    <row r="263" spans="2:15" x14ac:dyDescent="0.55000000000000004">
      <c r="B263" s="1" t="s">
        <v>152</v>
      </c>
      <c r="C263" s="1"/>
      <c r="D263" s="1">
        <f t="shared" ref="D263:O263" si="171">D2</f>
        <v>2019</v>
      </c>
      <c r="E263" s="1">
        <f t="shared" si="171"/>
        <v>2020</v>
      </c>
      <c r="F263" s="1">
        <f t="shared" si="171"/>
        <v>2021</v>
      </c>
      <c r="G263" s="1">
        <f t="shared" si="171"/>
        <v>2022</v>
      </c>
      <c r="H263" s="1">
        <f t="shared" si="171"/>
        <v>2023</v>
      </c>
      <c r="I263" s="1">
        <f t="shared" si="171"/>
        <v>2024</v>
      </c>
      <c r="J263" s="1">
        <f t="shared" si="171"/>
        <v>2025</v>
      </c>
      <c r="K263" s="1">
        <f t="shared" si="171"/>
        <v>2026</v>
      </c>
      <c r="L263" s="1">
        <f t="shared" si="171"/>
        <v>2027</v>
      </c>
      <c r="M263" s="1">
        <f t="shared" si="171"/>
        <v>2028</v>
      </c>
      <c r="N263" s="1">
        <f t="shared" si="171"/>
        <v>2029</v>
      </c>
      <c r="O263" s="1">
        <f t="shared" si="171"/>
        <v>2030</v>
      </c>
    </row>
    <row r="264" spans="2:15" x14ac:dyDescent="0.55000000000000004">
      <c r="B264" s="10"/>
      <c r="C264" s="10"/>
    </row>
    <row r="265" spans="2:15" x14ac:dyDescent="0.55000000000000004">
      <c r="B265" t="s">
        <v>3</v>
      </c>
      <c r="D265" s="4">
        <f t="shared" ref="D265:O265" si="172">D223</f>
        <v>20.07</v>
      </c>
      <c r="E265" s="4">
        <f t="shared" si="172"/>
        <v>41.930999999999997</v>
      </c>
      <c r="F265" s="4">
        <f t="shared" si="172"/>
        <v>99.2</v>
      </c>
      <c r="G265" s="4">
        <f t="shared" si="172"/>
        <v>153.07499999999999</v>
      </c>
      <c r="H265" s="4">
        <f t="shared" si="172"/>
        <v>202.3</v>
      </c>
      <c r="I265" s="4">
        <f t="shared" si="172"/>
        <v>195.61885639486695</v>
      </c>
      <c r="J265" s="4">
        <f t="shared" si="172"/>
        <v>274.67791873499999</v>
      </c>
      <c r="K265" s="4">
        <f t="shared" si="172"/>
        <v>344.26843262904413</v>
      </c>
      <c r="L265" s="4">
        <f t="shared" si="172"/>
        <v>415.68322364180119</v>
      </c>
      <c r="M265" s="4">
        <f t="shared" si="172"/>
        <v>482.3851845236664</v>
      </c>
      <c r="N265" s="4">
        <f t="shared" si="172"/>
        <v>546.66622463015278</v>
      </c>
      <c r="O265" s="4">
        <f t="shared" si="172"/>
        <v>622.11586044509625</v>
      </c>
    </row>
    <row r="266" spans="2:15" x14ac:dyDescent="0.55000000000000004">
      <c r="D266" s="4"/>
      <c r="E266" s="4"/>
    </row>
    <row r="267" spans="2:15" x14ac:dyDescent="0.55000000000000004">
      <c r="B267" t="s">
        <v>153</v>
      </c>
      <c r="D267" s="17">
        <v>1.7</v>
      </c>
      <c r="E267" s="17">
        <v>3.9</v>
      </c>
      <c r="F267" s="17">
        <v>48</v>
      </c>
      <c r="G267" s="17">
        <f>11.4+1</f>
        <v>12.4</v>
      </c>
      <c r="H267" s="17">
        <f>17.3+1</f>
        <v>18.3</v>
      </c>
      <c r="I267" s="4">
        <f t="shared" ref="I267:O267" si="173">I268*I195</f>
        <v>14.379437511406847</v>
      </c>
      <c r="J267" s="4">
        <f t="shared" si="173"/>
        <v>18.885768925000004</v>
      </c>
      <c r="K267" s="4">
        <f t="shared" si="173"/>
        <v>23.786509340073533</v>
      </c>
      <c r="L267" s="4">
        <f t="shared" si="173"/>
        <v>28.815719974774733</v>
      </c>
      <c r="M267" s="4">
        <f t="shared" si="173"/>
        <v>33.513041163638484</v>
      </c>
      <c r="N267" s="4">
        <f t="shared" si="173"/>
        <v>38.039874973954419</v>
      </c>
      <c r="O267" s="4">
        <f t="shared" si="173"/>
        <v>43.353229608809606</v>
      </c>
    </row>
    <row r="268" spans="2:15" x14ac:dyDescent="0.55000000000000004">
      <c r="B268" t="s">
        <v>155</v>
      </c>
      <c r="D268" s="3">
        <f>D267/D195</f>
        <v>4.7770253182341862E-2</v>
      </c>
      <c r="E268" s="3">
        <f>E267/E195</f>
        <v>6.5070493034120297E-2</v>
      </c>
      <c r="F268" s="3">
        <f>F267/F195</f>
        <v>0.36803324566985884</v>
      </c>
      <c r="G268" s="3">
        <f>G267/G195</f>
        <v>6.1355764473033161E-2</v>
      </c>
      <c r="H268" s="3">
        <f>H267/H195</f>
        <v>6.6086931399598439E-2</v>
      </c>
      <c r="I268" s="132">
        <v>0.05</v>
      </c>
      <c r="J268" s="132">
        <v>0.05</v>
      </c>
      <c r="K268" s="132">
        <v>0.05</v>
      </c>
      <c r="L268" s="132">
        <v>0.05</v>
      </c>
      <c r="M268" s="132">
        <v>0.05</v>
      </c>
      <c r="N268" s="132">
        <v>0.05</v>
      </c>
      <c r="O268" s="132">
        <v>0.05</v>
      </c>
    </row>
    <row r="270" spans="2:15" x14ac:dyDescent="0.55000000000000004">
      <c r="B270" t="s">
        <v>154</v>
      </c>
      <c r="D270" s="4">
        <f t="shared" ref="D270:O270" si="174">D227</f>
        <v>-0.28600000000000003</v>
      </c>
      <c r="E270" s="4">
        <f t="shared" si="174"/>
        <v>-0.47299999999999998</v>
      </c>
      <c r="F270" s="4">
        <f>F227</f>
        <v>-1.6619999999999999</v>
      </c>
      <c r="G270" s="4">
        <f t="shared" si="174"/>
        <v>6.59</v>
      </c>
      <c r="H270" s="4">
        <f t="shared" si="174"/>
        <v>1</v>
      </c>
      <c r="I270" s="4">
        <f t="shared" si="174"/>
        <v>5</v>
      </c>
      <c r="J270" s="4">
        <f t="shared" si="174"/>
        <v>5</v>
      </c>
      <c r="K270" s="4">
        <f t="shared" si="174"/>
        <v>5</v>
      </c>
      <c r="L270" s="4">
        <f t="shared" si="174"/>
        <v>5</v>
      </c>
      <c r="M270" s="4">
        <f t="shared" si="174"/>
        <v>5</v>
      </c>
      <c r="N270" s="4">
        <f t="shared" si="174"/>
        <v>5</v>
      </c>
      <c r="O270" s="4">
        <f t="shared" si="174"/>
        <v>5</v>
      </c>
    </row>
    <row r="271" spans="2:15" x14ac:dyDescent="0.55000000000000004">
      <c r="B271" t="s">
        <v>111</v>
      </c>
      <c r="D271" s="4">
        <f t="shared" ref="D271:O271" si="175">D231</f>
        <v>2.2210000000000001</v>
      </c>
      <c r="E271" s="4">
        <f t="shared" si="175"/>
        <v>3.2309999999999999</v>
      </c>
      <c r="F271" s="4">
        <f>F231</f>
        <v>7.6470000000000002</v>
      </c>
      <c r="G271" s="4">
        <f t="shared" si="175"/>
        <v>11.586</v>
      </c>
      <c r="H271" s="4">
        <f t="shared" si="175"/>
        <v>29.4</v>
      </c>
      <c r="I271" s="4">
        <f t="shared" si="175"/>
        <v>32.647883776692019</v>
      </c>
      <c r="J271" s="4">
        <f t="shared" si="175"/>
        <v>48.858429962000002</v>
      </c>
      <c r="K271" s="4">
        <f t="shared" si="175"/>
        <v>61.796384657794128</v>
      </c>
      <c r="L271" s="4">
        <f t="shared" si="175"/>
        <v>75.073500733405282</v>
      </c>
      <c r="M271" s="4">
        <f t="shared" si="175"/>
        <v>87.474428672005587</v>
      </c>
      <c r="N271" s="4">
        <f t="shared" si="175"/>
        <v>99.425269931239669</v>
      </c>
      <c r="O271" s="4">
        <f t="shared" si="175"/>
        <v>113.45252616725735</v>
      </c>
    </row>
    <row r="272" spans="2:15" x14ac:dyDescent="0.55000000000000004">
      <c r="D272" s="4"/>
    </row>
    <row r="273" spans="2:15" x14ac:dyDescent="0.55000000000000004">
      <c r="B273" t="s">
        <v>157</v>
      </c>
      <c r="E273" s="4">
        <f>-(E287-D287)</f>
        <v>-46.9</v>
      </c>
      <c r="F273" s="4">
        <f>-(F287-E287)</f>
        <v>-118.16600000000001</v>
      </c>
      <c r="G273" s="4">
        <f t="shared" ref="G273:O273" si="176">-(G287-F287)</f>
        <v>-49.033999999999992</v>
      </c>
      <c r="H273" s="4">
        <f t="shared" si="176"/>
        <v>-123.39999999999998</v>
      </c>
      <c r="I273" s="4">
        <f t="shared" si="176"/>
        <v>-120.44158114246176</v>
      </c>
      <c r="J273" s="4">
        <f t="shared" si="176"/>
        <v>-174.3199893618434</v>
      </c>
      <c r="K273" s="4">
        <f t="shared" si="176"/>
        <v>-232.81915297717262</v>
      </c>
      <c r="L273" s="4">
        <f t="shared" si="176"/>
        <v>-277.22363223302341</v>
      </c>
      <c r="M273" s="4">
        <f t="shared" si="176"/>
        <v>-285.45293157787069</v>
      </c>
      <c r="N273" s="4">
        <f t="shared" si="176"/>
        <v>-303.8705281300588</v>
      </c>
      <c r="O273" s="4">
        <f t="shared" si="176"/>
        <v>-252.06875324276734</v>
      </c>
    </row>
    <row r="274" spans="2:15" x14ac:dyDescent="0.55000000000000004">
      <c r="B274" s="14" t="s">
        <v>158</v>
      </c>
      <c r="C274" s="14"/>
      <c r="D274" s="14"/>
      <c r="E274" s="23">
        <f>E296-D296</f>
        <v>89.888000000000005</v>
      </c>
      <c r="F274" s="23">
        <f>F296-E296</f>
        <v>134.29500000000002</v>
      </c>
      <c r="G274" s="23">
        <f t="shared" ref="G274:O274" si="177">G296-F296</f>
        <v>130.83999999999997</v>
      </c>
      <c r="H274" s="23">
        <f t="shared" si="177"/>
        <v>195</v>
      </c>
      <c r="I274" s="23">
        <f t="shared" si="177"/>
        <v>191.83371482889743</v>
      </c>
      <c r="J274" s="23">
        <f t="shared" si="177"/>
        <v>204.29868517110253</v>
      </c>
      <c r="K274" s="23">
        <f t="shared" si="177"/>
        <v>258.01325808823549</v>
      </c>
      <c r="L274" s="23">
        <f t="shared" si="177"/>
        <v>282.53196401744526</v>
      </c>
      <c r="M274" s="23">
        <f t="shared" si="177"/>
        <v>257.77237723834651</v>
      </c>
      <c r="N274" s="23">
        <f t="shared" si="177"/>
        <v>249.20202950140083</v>
      </c>
      <c r="O274" s="23">
        <f t="shared" si="177"/>
        <v>293.53562470295765</v>
      </c>
    </row>
    <row r="275" spans="2:15" x14ac:dyDescent="0.55000000000000004">
      <c r="B275" t="s">
        <v>159</v>
      </c>
      <c r="E275" s="4">
        <f>E273+E274</f>
        <v>42.988000000000007</v>
      </c>
      <c r="F275" s="4">
        <f>F273+F274</f>
        <v>16.129000000000005</v>
      </c>
      <c r="G275" s="4">
        <f t="shared" ref="G275:O275" si="178">G273+G274</f>
        <v>81.805999999999983</v>
      </c>
      <c r="H275" s="4">
        <f t="shared" si="178"/>
        <v>71.600000000000023</v>
      </c>
      <c r="I275" s="4">
        <f t="shared" si="178"/>
        <v>71.39213368643567</v>
      </c>
      <c r="J275" s="4">
        <f t="shared" si="178"/>
        <v>29.978695809259136</v>
      </c>
      <c r="K275" s="4">
        <f t="shared" si="178"/>
        <v>25.194105111062868</v>
      </c>
      <c r="L275" s="4">
        <f t="shared" si="178"/>
        <v>5.3083317844218527</v>
      </c>
      <c r="M275" s="4">
        <f t="shared" si="178"/>
        <v>-27.680554339524178</v>
      </c>
      <c r="N275" s="4">
        <f t="shared" si="178"/>
        <v>-54.668498628657971</v>
      </c>
      <c r="O275" s="4">
        <f t="shared" si="178"/>
        <v>41.466871460190305</v>
      </c>
    </row>
    <row r="277" spans="2:15" x14ac:dyDescent="0.55000000000000004">
      <c r="B277" t="s">
        <v>160</v>
      </c>
      <c r="E277" s="24">
        <v>0</v>
      </c>
      <c r="F277" s="24">
        <v>0</v>
      </c>
      <c r="G277" s="29">
        <f t="shared" ref="G277:O277" si="179">F277</f>
        <v>0</v>
      </c>
      <c r="H277" s="29">
        <f t="shared" si="179"/>
        <v>0</v>
      </c>
      <c r="I277" s="29">
        <f t="shared" si="179"/>
        <v>0</v>
      </c>
      <c r="J277" s="29">
        <f t="shared" si="179"/>
        <v>0</v>
      </c>
      <c r="K277" s="29">
        <f t="shared" si="179"/>
        <v>0</v>
      </c>
      <c r="L277" s="29">
        <f t="shared" si="179"/>
        <v>0</v>
      </c>
      <c r="M277" s="29">
        <f t="shared" si="179"/>
        <v>0</v>
      </c>
      <c r="N277" s="29">
        <f t="shared" si="179"/>
        <v>0</v>
      </c>
      <c r="O277" s="29">
        <f t="shared" si="179"/>
        <v>0</v>
      </c>
    </row>
    <row r="278" spans="2:15" x14ac:dyDescent="0.55000000000000004">
      <c r="B278" t="s">
        <v>161</v>
      </c>
      <c r="E278" s="24">
        <v>0</v>
      </c>
      <c r="F278" s="24">
        <v>0</v>
      </c>
      <c r="G278" s="29">
        <f t="shared" ref="G278:O278" si="180">F278</f>
        <v>0</v>
      </c>
      <c r="H278" s="29">
        <f t="shared" si="180"/>
        <v>0</v>
      </c>
      <c r="I278" s="29">
        <f t="shared" si="180"/>
        <v>0</v>
      </c>
      <c r="J278" s="29">
        <f t="shared" si="180"/>
        <v>0</v>
      </c>
      <c r="K278" s="29">
        <f t="shared" si="180"/>
        <v>0</v>
      </c>
      <c r="L278" s="29">
        <f t="shared" si="180"/>
        <v>0</v>
      </c>
      <c r="M278" s="29">
        <f t="shared" si="180"/>
        <v>0</v>
      </c>
      <c r="N278" s="29">
        <f t="shared" si="180"/>
        <v>0</v>
      </c>
      <c r="O278" s="29">
        <f t="shared" si="180"/>
        <v>0</v>
      </c>
    </row>
    <row r="279" spans="2:15" x14ac:dyDescent="0.55000000000000004">
      <c r="B279" t="s">
        <v>1048</v>
      </c>
      <c r="E279" s="24"/>
      <c r="F279" s="24"/>
      <c r="G279" s="29"/>
      <c r="H279" s="29"/>
      <c r="I279" s="29">
        <f>I256*I257</f>
        <v>200</v>
      </c>
      <c r="J279" s="29">
        <f t="shared" ref="J279:O279" si="181">J256*J257</f>
        <v>0</v>
      </c>
      <c r="K279" s="29">
        <f t="shared" si="181"/>
        <v>0</v>
      </c>
      <c r="L279" s="29">
        <f t="shared" si="181"/>
        <v>0</v>
      </c>
      <c r="M279" s="29">
        <f t="shared" si="181"/>
        <v>0</v>
      </c>
      <c r="N279" s="29">
        <f t="shared" si="181"/>
        <v>0</v>
      </c>
      <c r="O279" s="29">
        <f t="shared" si="181"/>
        <v>0</v>
      </c>
    </row>
    <row r="280" spans="2:15" x14ac:dyDescent="0.55000000000000004">
      <c r="B280" s="14" t="s">
        <v>162</v>
      </c>
      <c r="C280" s="14"/>
      <c r="D280" s="14"/>
      <c r="E280" s="25">
        <v>0</v>
      </c>
      <c r="F280" s="23">
        <f>F261</f>
        <v>92.647064999999984</v>
      </c>
      <c r="G280" s="23">
        <f t="shared" ref="G280:O280" si="182">G261</f>
        <v>0</v>
      </c>
      <c r="H280" s="23">
        <f t="shared" si="182"/>
        <v>0</v>
      </c>
      <c r="I280" s="23">
        <f t="shared" si="182"/>
        <v>0</v>
      </c>
      <c r="J280" s="23">
        <f t="shared" si="182"/>
        <v>0</v>
      </c>
      <c r="K280" s="23">
        <f t="shared" si="182"/>
        <v>0</v>
      </c>
      <c r="L280" s="23">
        <f t="shared" si="182"/>
        <v>0</v>
      </c>
      <c r="M280" s="23">
        <f t="shared" si="182"/>
        <v>0</v>
      </c>
      <c r="N280" s="23">
        <f t="shared" si="182"/>
        <v>0</v>
      </c>
      <c r="O280" s="23">
        <f t="shared" si="182"/>
        <v>0</v>
      </c>
    </row>
    <row r="281" spans="2:15" x14ac:dyDescent="0.55000000000000004">
      <c r="B281" t="s">
        <v>152</v>
      </c>
      <c r="E281" s="4">
        <f>E265-E267-E270-E271+E275-E277-E278+E280</f>
        <v>78.260999999999996</v>
      </c>
      <c r="F281" s="4">
        <f t="shared" ref="F281:O281" si="183">F265-F267-F270-F271+F275-F277-F278+F280</f>
        <v>153.99106499999999</v>
      </c>
      <c r="G281" s="4">
        <f t="shared" si="183"/>
        <v>204.30499999999995</v>
      </c>
      <c r="H281" s="4">
        <f t="shared" si="183"/>
        <v>225.20000000000002</v>
      </c>
      <c r="I281" s="4">
        <f>I265-I267-I270-I271+I275-I277-I278+I280-I279</f>
        <v>14.983668793203748</v>
      </c>
      <c r="J281" s="4">
        <f t="shared" si="183"/>
        <v>231.91241565725912</v>
      </c>
      <c r="K281" s="4">
        <f t="shared" si="183"/>
        <v>278.87964374223935</v>
      </c>
      <c r="L281" s="4">
        <f t="shared" si="183"/>
        <v>312.10233471804304</v>
      </c>
      <c r="M281" s="4">
        <f t="shared" si="183"/>
        <v>328.71716034849817</v>
      </c>
      <c r="N281" s="4">
        <f t="shared" si="183"/>
        <v>349.53258109630076</v>
      </c>
      <c r="O281" s="4">
        <f t="shared" si="183"/>
        <v>501.77697612921963</v>
      </c>
    </row>
    <row r="283" spans="2:15" x14ac:dyDescent="0.55000000000000004">
      <c r="B283" s="1" t="s">
        <v>145</v>
      </c>
      <c r="C283" s="1"/>
      <c r="D283" s="1">
        <f t="shared" ref="D283:O283" si="184">D94</f>
        <v>2019</v>
      </c>
      <c r="E283" s="1">
        <f t="shared" si="184"/>
        <v>2020</v>
      </c>
      <c r="F283" s="1">
        <f t="shared" si="184"/>
        <v>2021</v>
      </c>
      <c r="G283" s="1">
        <f t="shared" si="184"/>
        <v>2022</v>
      </c>
      <c r="H283" s="1">
        <f t="shared" si="184"/>
        <v>2023</v>
      </c>
      <c r="I283" s="1">
        <f t="shared" si="184"/>
        <v>2024</v>
      </c>
      <c r="J283" s="1">
        <f t="shared" si="184"/>
        <v>2025</v>
      </c>
      <c r="K283" s="1">
        <f t="shared" si="184"/>
        <v>2026</v>
      </c>
      <c r="L283" s="1">
        <f t="shared" si="184"/>
        <v>2027</v>
      </c>
      <c r="M283" s="1">
        <f t="shared" si="184"/>
        <v>2028</v>
      </c>
      <c r="N283" s="1">
        <f t="shared" si="184"/>
        <v>2029</v>
      </c>
      <c r="O283" s="1">
        <f t="shared" si="184"/>
        <v>2030</v>
      </c>
    </row>
    <row r="285" spans="2:15" x14ac:dyDescent="0.55000000000000004">
      <c r="B285" t="s">
        <v>146</v>
      </c>
      <c r="D285" s="24">
        <v>34.765000000000001</v>
      </c>
      <c r="E285" s="24">
        <v>111.733</v>
      </c>
      <c r="F285" s="24">
        <v>336.197</v>
      </c>
      <c r="G285" s="24">
        <v>468</v>
      </c>
      <c r="H285" s="24">
        <v>536.1</v>
      </c>
      <c r="I285" s="4">
        <f t="shared" ref="I285:O285" si="185">H285+I281</f>
        <v>551.08366879320374</v>
      </c>
      <c r="J285" s="4">
        <f t="shared" si="185"/>
        <v>782.99608445046283</v>
      </c>
      <c r="K285" s="4">
        <f t="shared" si="185"/>
        <v>1061.8757281927021</v>
      </c>
      <c r="L285" s="4">
        <f t="shared" si="185"/>
        <v>1373.9780629107452</v>
      </c>
      <c r="M285" s="4">
        <f t="shared" si="185"/>
        <v>1702.6952232592434</v>
      </c>
      <c r="N285" s="4">
        <f t="shared" si="185"/>
        <v>2052.2278043555443</v>
      </c>
      <c r="O285" s="4">
        <f t="shared" si="185"/>
        <v>2554.0047804847641</v>
      </c>
    </row>
    <row r="286" spans="2:15" x14ac:dyDescent="0.55000000000000004">
      <c r="D286" s="4"/>
      <c r="E286" s="4"/>
      <c r="F286" s="4"/>
      <c r="G286" s="4"/>
      <c r="H286" s="4"/>
      <c r="I286" s="4"/>
      <c r="J286" s="4"/>
      <c r="K286" s="4"/>
      <c r="L286" s="4"/>
      <c r="M286" s="4"/>
      <c r="N286" s="4"/>
      <c r="O286" s="4"/>
    </row>
    <row r="287" spans="2:15" x14ac:dyDescent="0.55000000000000004">
      <c r="B287" t="s">
        <v>189</v>
      </c>
      <c r="D287" s="24">
        <v>25.9</v>
      </c>
      <c r="E287" s="24">
        <v>72.8</v>
      </c>
      <c r="F287" s="24">
        <v>190.96600000000001</v>
      </c>
      <c r="G287" s="24">
        <v>240</v>
      </c>
      <c r="H287" s="24">
        <v>363.4</v>
      </c>
      <c r="I287" s="34">
        <f t="shared" ref="I287:O287" si="186">I289*I98</f>
        <v>483.84158114246173</v>
      </c>
      <c r="J287" s="34">
        <f t="shared" si="186"/>
        <v>658.16157050430513</v>
      </c>
      <c r="K287" s="34">
        <f t="shared" si="186"/>
        <v>890.98072348147775</v>
      </c>
      <c r="L287" s="34">
        <f t="shared" si="186"/>
        <v>1168.2043557145012</v>
      </c>
      <c r="M287" s="34">
        <f t="shared" si="186"/>
        <v>1453.6572872923718</v>
      </c>
      <c r="N287" s="34">
        <f t="shared" si="186"/>
        <v>1757.5278154224306</v>
      </c>
      <c r="O287" s="34">
        <f t="shared" si="186"/>
        <v>2009.596568665198</v>
      </c>
    </row>
    <row r="288" spans="2:15" x14ac:dyDescent="0.55000000000000004">
      <c r="B288" s="14" t="s">
        <v>63</v>
      </c>
      <c r="C288" s="14"/>
      <c r="D288" s="23">
        <f>D291-D285-D287</f>
        <v>16.550999999999995</v>
      </c>
      <c r="E288" s="23">
        <f>E291-E285-E287</f>
        <v>10.321000000000012</v>
      </c>
      <c r="F288" s="23">
        <f>F291-F285-F287</f>
        <v>2.3429999999999609</v>
      </c>
      <c r="G288" s="23">
        <f>G291-G285-G287</f>
        <v>59</v>
      </c>
      <c r="H288" s="23">
        <f>H291-H285-H287</f>
        <v>116.5</v>
      </c>
      <c r="I288" s="32">
        <f t="shared" ref="I288:O288" si="187">H288</f>
        <v>116.5</v>
      </c>
      <c r="J288" s="32">
        <f t="shared" si="187"/>
        <v>116.5</v>
      </c>
      <c r="K288" s="32">
        <f t="shared" si="187"/>
        <v>116.5</v>
      </c>
      <c r="L288" s="32">
        <f t="shared" si="187"/>
        <v>116.5</v>
      </c>
      <c r="M288" s="32">
        <f t="shared" si="187"/>
        <v>116.5</v>
      </c>
      <c r="N288" s="32">
        <f t="shared" si="187"/>
        <v>116.5</v>
      </c>
      <c r="O288" s="32">
        <f t="shared" si="187"/>
        <v>116.5</v>
      </c>
    </row>
    <row r="289" spans="2:15" x14ac:dyDescent="0.55000000000000004">
      <c r="B289" t="s">
        <v>57</v>
      </c>
      <c r="D289" s="2">
        <f>D287/D98</f>
        <v>0.47090909090909089</v>
      </c>
      <c r="E289" s="2">
        <f>E287/E98</f>
        <v>0.7</v>
      </c>
      <c r="F289" s="2">
        <f>F287/F98</f>
        <v>0.78232691519868913</v>
      </c>
      <c r="G289" s="2">
        <f>G287/G98</f>
        <v>0.5729291000238721</v>
      </c>
      <c r="H289" s="2">
        <f>H287/H98</f>
        <v>0.55873308733087335</v>
      </c>
      <c r="I289" s="19">
        <f t="shared" ref="I289:N289" si="188">H289+5%</f>
        <v>0.60873308733087339</v>
      </c>
      <c r="J289" s="19">
        <f t="shared" si="188"/>
        <v>0.65873308733087343</v>
      </c>
      <c r="K289" s="19">
        <f t="shared" si="188"/>
        <v>0.70873308733087348</v>
      </c>
      <c r="L289" s="19">
        <f t="shared" si="188"/>
        <v>0.75873308733087352</v>
      </c>
      <c r="M289" s="19">
        <f t="shared" si="188"/>
        <v>0.80873308733087357</v>
      </c>
      <c r="N289" s="19">
        <f t="shared" si="188"/>
        <v>0.85873308733087361</v>
      </c>
      <c r="O289" s="19">
        <f>N289</f>
        <v>0.85873308733087361</v>
      </c>
    </row>
    <row r="290" spans="2:15" x14ac:dyDescent="0.55000000000000004">
      <c r="D290" s="4"/>
      <c r="E290" s="4"/>
      <c r="F290" s="29"/>
      <c r="G290" s="29"/>
      <c r="H290" s="29"/>
      <c r="I290" s="29"/>
      <c r="J290" s="29"/>
      <c r="K290" s="29"/>
      <c r="L290" s="29"/>
      <c r="M290" s="29"/>
      <c r="N290" s="29"/>
      <c r="O290" s="29"/>
    </row>
    <row r="291" spans="2:15" x14ac:dyDescent="0.55000000000000004">
      <c r="B291" t="s">
        <v>147</v>
      </c>
      <c r="D291" s="24">
        <v>77.215999999999994</v>
      </c>
      <c r="E291" s="24">
        <v>194.85400000000001</v>
      </c>
      <c r="F291" s="24">
        <v>529.50599999999997</v>
      </c>
      <c r="G291" s="24">
        <v>767</v>
      </c>
      <c r="H291" s="24">
        <v>1016</v>
      </c>
      <c r="I291" s="4">
        <f t="shared" ref="I291:O291" si="189">I285+I287+I288</f>
        <v>1151.4252499356655</v>
      </c>
      <c r="J291" s="4">
        <f t="shared" si="189"/>
        <v>1557.6576549547681</v>
      </c>
      <c r="K291" s="4">
        <f t="shared" si="189"/>
        <v>2069.3564516741799</v>
      </c>
      <c r="L291" s="4">
        <f t="shared" si="189"/>
        <v>2658.6824186252461</v>
      </c>
      <c r="M291" s="4">
        <f t="shared" si="189"/>
        <v>3272.8525105516155</v>
      </c>
      <c r="N291" s="4">
        <f t="shared" si="189"/>
        <v>3926.255619777975</v>
      </c>
      <c r="O291" s="4">
        <f t="shared" si="189"/>
        <v>4680.1013491499616</v>
      </c>
    </row>
    <row r="292" spans="2:15" x14ac:dyDescent="0.55000000000000004">
      <c r="G292" s="4"/>
    </row>
    <row r="293" spans="2:15" x14ac:dyDescent="0.55000000000000004">
      <c r="B293" s="14" t="s">
        <v>148</v>
      </c>
      <c r="C293" s="14"/>
      <c r="D293" s="25">
        <v>2.38</v>
      </c>
      <c r="E293" s="25">
        <v>5.6130000000000004</v>
      </c>
      <c r="F293" s="25">
        <v>53.5</v>
      </c>
      <c r="G293" s="25">
        <v>58.5</v>
      </c>
      <c r="H293" s="25">
        <v>68.400000000000006</v>
      </c>
      <c r="I293" s="29">
        <f t="shared" ref="I293:O293" si="190">H293+I267-I215</f>
        <v>68.400000000000006</v>
      </c>
      <c r="J293" s="29">
        <f t="shared" si="190"/>
        <v>68.400000000000006</v>
      </c>
      <c r="K293" s="29">
        <f t="shared" si="190"/>
        <v>68.400000000000006</v>
      </c>
      <c r="L293" s="29">
        <f t="shared" si="190"/>
        <v>68.400000000000006</v>
      </c>
      <c r="M293" s="29">
        <f t="shared" si="190"/>
        <v>68.400000000000006</v>
      </c>
      <c r="N293" s="29">
        <f t="shared" si="190"/>
        <v>68.400000000000006</v>
      </c>
      <c r="O293" s="29">
        <f t="shared" si="190"/>
        <v>68.400000000000006</v>
      </c>
    </row>
    <row r="294" spans="2:15" ht="14.7" thickBot="1" x14ac:dyDescent="0.6">
      <c r="B294" s="30" t="s">
        <v>163</v>
      </c>
      <c r="C294" s="30"/>
      <c r="D294" s="31">
        <f>D291+D293</f>
        <v>79.595999999999989</v>
      </c>
      <c r="E294" s="31">
        <f>E291+E293</f>
        <v>200.46700000000001</v>
      </c>
      <c r="F294" s="31">
        <f>F291+F293</f>
        <v>583.00599999999997</v>
      </c>
      <c r="G294" s="31">
        <f t="shared" ref="G294:O294" si="191">G291+G293</f>
        <v>825.5</v>
      </c>
      <c r="H294" s="31">
        <f t="shared" si="191"/>
        <v>1084.4000000000001</v>
      </c>
      <c r="I294" s="31">
        <f t="shared" si="191"/>
        <v>1219.8252499356656</v>
      </c>
      <c r="J294" s="31">
        <f t="shared" si="191"/>
        <v>1626.0576549547682</v>
      </c>
      <c r="K294" s="31">
        <f t="shared" si="191"/>
        <v>2137.75645167418</v>
      </c>
      <c r="L294" s="31">
        <f t="shared" si="191"/>
        <v>2727.0824186252462</v>
      </c>
      <c r="M294" s="31">
        <f t="shared" si="191"/>
        <v>3341.2525105516156</v>
      </c>
      <c r="N294" s="31">
        <f t="shared" si="191"/>
        <v>3994.6556197779751</v>
      </c>
      <c r="O294" s="31">
        <f t="shared" si="191"/>
        <v>4748.5013491499612</v>
      </c>
    </row>
    <row r="295" spans="2:15" ht="14.7" thickTop="1" x14ac:dyDescent="0.55000000000000004"/>
    <row r="296" spans="2:15" x14ac:dyDescent="0.55000000000000004">
      <c r="B296" t="s">
        <v>156</v>
      </c>
      <c r="D296" s="24">
        <v>52.976999999999997</v>
      </c>
      <c r="E296" s="24">
        <v>142.86500000000001</v>
      </c>
      <c r="F296" s="24">
        <v>277.16000000000003</v>
      </c>
      <c r="G296" s="24">
        <v>408</v>
      </c>
      <c r="H296" s="24">
        <v>603</v>
      </c>
      <c r="I296" s="34">
        <f t="shared" ref="I296:O296" si="192">I297*I98</f>
        <v>794.83371482889743</v>
      </c>
      <c r="J296" s="34">
        <f t="shared" si="192"/>
        <v>999.13239999999996</v>
      </c>
      <c r="K296" s="34">
        <f t="shared" si="192"/>
        <v>1257.1456580882355</v>
      </c>
      <c r="L296" s="34">
        <f t="shared" si="192"/>
        <v>1539.6776221056807</v>
      </c>
      <c r="M296" s="34">
        <f t="shared" si="192"/>
        <v>1797.4499993440272</v>
      </c>
      <c r="N296" s="34">
        <f t="shared" si="192"/>
        <v>2046.652028845428</v>
      </c>
      <c r="O296" s="34">
        <f t="shared" si="192"/>
        <v>2340.1876535483857</v>
      </c>
    </row>
    <row r="297" spans="2:15" x14ac:dyDescent="0.55000000000000004">
      <c r="B297" t="s">
        <v>164</v>
      </c>
      <c r="D297" s="33">
        <f>D296/D98</f>
        <v>0.96321818181818175</v>
      </c>
      <c r="E297" s="33">
        <f>E296/E98</f>
        <v>1.3737019230769232</v>
      </c>
      <c r="F297" s="33">
        <f>F296/F98</f>
        <v>1.1354362965997544</v>
      </c>
      <c r="G297" s="33">
        <f>G296/G98</f>
        <v>0.9739794700405825</v>
      </c>
      <c r="H297" s="33">
        <f>H296/H98</f>
        <v>0.92712177121771222</v>
      </c>
      <c r="I297" s="19">
        <v>1</v>
      </c>
      <c r="J297" s="19">
        <v>1</v>
      </c>
      <c r="K297" s="19">
        <v>1</v>
      </c>
      <c r="L297" s="19">
        <v>1</v>
      </c>
      <c r="M297" s="19">
        <v>1</v>
      </c>
      <c r="N297" s="19">
        <v>1</v>
      </c>
      <c r="O297" s="19">
        <v>1</v>
      </c>
    </row>
    <row r="298" spans="2:15" x14ac:dyDescent="0.55000000000000004">
      <c r="D298" s="29"/>
      <c r="E298" s="29"/>
      <c r="F298" s="29"/>
      <c r="G298" s="29"/>
      <c r="H298" s="29"/>
      <c r="I298" s="29"/>
      <c r="J298" s="29"/>
      <c r="K298" s="29"/>
      <c r="L298" s="29"/>
      <c r="M298" s="29"/>
      <c r="N298" s="29"/>
      <c r="O298" s="29"/>
    </row>
    <row r="299" spans="2:15" x14ac:dyDescent="0.55000000000000004">
      <c r="B299" s="14" t="s">
        <v>63</v>
      </c>
      <c r="C299" s="14"/>
      <c r="D299" s="23">
        <f>D300-D296</f>
        <v>2.0900000000000034</v>
      </c>
      <c r="E299" s="23">
        <f>E300-E296</f>
        <v>12.277999999999992</v>
      </c>
      <c r="F299" s="23">
        <f>F300-F296</f>
        <v>21.238</v>
      </c>
      <c r="G299" s="23">
        <f>G300-G296</f>
        <v>14</v>
      </c>
      <c r="H299" s="23">
        <f>H300-H296</f>
        <v>22</v>
      </c>
      <c r="I299" s="32">
        <f t="shared" ref="I299:O299" si="193">H299</f>
        <v>22</v>
      </c>
      <c r="J299" s="32">
        <f t="shared" si="193"/>
        <v>22</v>
      </c>
      <c r="K299" s="32">
        <f t="shared" si="193"/>
        <v>22</v>
      </c>
      <c r="L299" s="32">
        <f t="shared" si="193"/>
        <v>22</v>
      </c>
      <c r="M299" s="32">
        <f t="shared" si="193"/>
        <v>22</v>
      </c>
      <c r="N299" s="32">
        <f t="shared" si="193"/>
        <v>22</v>
      </c>
      <c r="O299" s="32">
        <f t="shared" si="193"/>
        <v>22</v>
      </c>
    </row>
    <row r="300" spans="2:15" x14ac:dyDescent="0.55000000000000004">
      <c r="B300" t="s">
        <v>149</v>
      </c>
      <c r="D300" s="24">
        <v>55.067</v>
      </c>
      <c r="E300" s="24">
        <v>155.143</v>
      </c>
      <c r="F300" s="24">
        <v>298.39800000000002</v>
      </c>
      <c r="G300" s="24">
        <v>422</v>
      </c>
      <c r="H300" s="24">
        <v>625</v>
      </c>
      <c r="I300" s="4">
        <f t="shared" ref="I300:O300" si="194">I296+I299</f>
        <v>816.83371482889743</v>
      </c>
      <c r="J300" s="4">
        <f t="shared" si="194"/>
        <v>1021.1324</v>
      </c>
      <c r="K300" s="4">
        <f t="shared" si="194"/>
        <v>1279.1456580882355</v>
      </c>
      <c r="L300" s="4">
        <f t="shared" si="194"/>
        <v>1561.6776221056807</v>
      </c>
      <c r="M300" s="4">
        <f t="shared" si="194"/>
        <v>1819.4499993440272</v>
      </c>
      <c r="N300" s="4">
        <f t="shared" si="194"/>
        <v>2068.652028845428</v>
      </c>
      <c r="O300" s="4">
        <f t="shared" si="194"/>
        <v>2362.1876535483857</v>
      </c>
    </row>
    <row r="302" spans="2:15" x14ac:dyDescent="0.55000000000000004">
      <c r="B302" t="s">
        <v>148</v>
      </c>
      <c r="D302" s="24">
        <v>0.219</v>
      </c>
      <c r="E302" s="24">
        <v>0.27600000000000002</v>
      </c>
      <c r="F302" s="24">
        <v>4.3090000000000002</v>
      </c>
      <c r="G302" s="24">
        <v>4.4000000000000004</v>
      </c>
      <c r="H302" s="24">
        <v>4</v>
      </c>
      <c r="I302" s="29">
        <f t="shared" ref="I302:O302" si="195">H302</f>
        <v>4</v>
      </c>
      <c r="J302" s="29">
        <f t="shared" si="195"/>
        <v>4</v>
      </c>
      <c r="K302" s="29">
        <f t="shared" si="195"/>
        <v>4</v>
      </c>
      <c r="L302" s="29">
        <f t="shared" si="195"/>
        <v>4</v>
      </c>
      <c r="M302" s="29">
        <f t="shared" si="195"/>
        <v>4</v>
      </c>
      <c r="N302" s="29">
        <f t="shared" si="195"/>
        <v>4</v>
      </c>
      <c r="O302" s="29">
        <f t="shared" si="195"/>
        <v>4</v>
      </c>
    </row>
    <row r="303" spans="2:15" x14ac:dyDescent="0.55000000000000004">
      <c r="D303" s="4"/>
      <c r="E303" s="4"/>
    </row>
    <row r="304" spans="2:15" x14ac:dyDescent="0.55000000000000004">
      <c r="B304" t="s">
        <v>150</v>
      </c>
      <c r="D304" s="24">
        <v>24.363</v>
      </c>
      <c r="E304" s="24">
        <v>45</v>
      </c>
      <c r="F304" s="24">
        <v>280.31900000000002</v>
      </c>
      <c r="G304" s="24">
        <v>400</v>
      </c>
      <c r="H304" s="24">
        <v>455</v>
      </c>
      <c r="I304" s="34">
        <f t="shared" ref="I304:O304" si="196">H304+I234-I277+I261</f>
        <v>585.59153510676811</v>
      </c>
      <c r="J304" s="34">
        <f t="shared" si="196"/>
        <v>781.02525495476812</v>
      </c>
      <c r="K304" s="34">
        <f t="shared" si="196"/>
        <v>1028.2107935859447</v>
      </c>
      <c r="L304" s="34">
        <f t="shared" si="196"/>
        <v>1328.5047965195658</v>
      </c>
      <c r="M304" s="34">
        <f t="shared" si="196"/>
        <v>1678.4025112075883</v>
      </c>
      <c r="N304" s="34">
        <f t="shared" si="196"/>
        <v>2076.1035909325469</v>
      </c>
      <c r="O304" s="34">
        <f t="shared" si="196"/>
        <v>2529.9136956015764</v>
      </c>
    </row>
    <row r="306" spans="2:15" ht="14.7" thickBot="1" x14ac:dyDescent="0.6">
      <c r="B306" s="30" t="s">
        <v>151</v>
      </c>
      <c r="C306" s="30"/>
      <c r="D306" s="31">
        <f>D300+D302+D304</f>
        <v>79.649000000000001</v>
      </c>
      <c r="E306" s="31">
        <f>E300+E302+E304</f>
        <v>200.41900000000001</v>
      </c>
      <c r="F306" s="31">
        <f>F300+F302+F304</f>
        <v>583.02600000000007</v>
      </c>
      <c r="G306" s="31">
        <f t="shared" ref="G306:O306" si="197">G300+G302+G304</f>
        <v>826.4</v>
      </c>
      <c r="H306" s="31">
        <f t="shared" si="197"/>
        <v>1084</v>
      </c>
      <c r="I306" s="31">
        <f t="shared" si="197"/>
        <v>1406.4252499356655</v>
      </c>
      <c r="J306" s="31">
        <f t="shared" si="197"/>
        <v>1806.1576549547681</v>
      </c>
      <c r="K306" s="31">
        <f t="shared" si="197"/>
        <v>2311.3564516741799</v>
      </c>
      <c r="L306" s="31">
        <f t="shared" si="197"/>
        <v>2894.1824186252466</v>
      </c>
      <c r="M306" s="31">
        <f t="shared" si="197"/>
        <v>3501.8525105516155</v>
      </c>
      <c r="N306" s="31">
        <f t="shared" si="197"/>
        <v>4148.755619777975</v>
      </c>
      <c r="O306" s="31">
        <f t="shared" si="197"/>
        <v>4896.1013491499616</v>
      </c>
    </row>
    <row r="307" spans="2:15" ht="14.7" thickTop="1" x14ac:dyDescent="0.55000000000000004">
      <c r="B307" t="s">
        <v>143</v>
      </c>
      <c r="D307" s="4">
        <f>D294-D306</f>
        <v>-5.3000000000011482E-2</v>
      </c>
      <c r="E307" s="4">
        <f t="shared" ref="E307:O307" si="198">E294-E306</f>
        <v>4.8000000000001819E-2</v>
      </c>
      <c r="F307" s="4">
        <f t="shared" si="198"/>
        <v>-2.0000000000095497E-2</v>
      </c>
      <c r="G307" s="4">
        <f t="shared" si="198"/>
        <v>-0.89999999999997726</v>
      </c>
      <c r="H307" s="4">
        <f t="shared" si="198"/>
        <v>0.40000000000009095</v>
      </c>
      <c r="I307" s="4">
        <f t="shared" si="198"/>
        <v>-186.59999999999991</v>
      </c>
      <c r="J307" s="4">
        <f t="shared" si="198"/>
        <v>-180.09999999999991</v>
      </c>
      <c r="K307" s="4">
        <f t="shared" si="198"/>
        <v>-173.59999999999991</v>
      </c>
      <c r="L307" s="4">
        <f t="shared" si="198"/>
        <v>-167.10000000000036</v>
      </c>
      <c r="M307" s="4">
        <f t="shared" si="198"/>
        <v>-160.59999999999991</v>
      </c>
      <c r="N307" s="4">
        <f t="shared" si="198"/>
        <v>-154.09999999999991</v>
      </c>
      <c r="O307" s="4">
        <f t="shared" si="198"/>
        <v>-147.60000000000036</v>
      </c>
    </row>
    <row r="309" spans="2:15" x14ac:dyDescent="0.55000000000000004">
      <c r="B309" t="s">
        <v>165</v>
      </c>
      <c r="D309" s="4">
        <f>D285+D287-D296</f>
        <v>7.6880000000000024</v>
      </c>
      <c r="E309" s="4">
        <f>E285+E287-E296</f>
        <v>41.668000000000006</v>
      </c>
      <c r="F309" s="4">
        <f t="shared" ref="F309:O309" si="199">F285+F287-F296</f>
        <v>250.00299999999999</v>
      </c>
      <c r="G309" s="4">
        <f t="shared" si="199"/>
        <v>300</v>
      </c>
      <c r="H309" s="4">
        <f t="shared" si="199"/>
        <v>296.5</v>
      </c>
      <c r="I309" s="4">
        <f t="shared" si="199"/>
        <v>240.09153510676811</v>
      </c>
      <c r="J309" s="4">
        <f t="shared" si="199"/>
        <v>442.02525495476812</v>
      </c>
      <c r="K309" s="4">
        <f t="shared" si="199"/>
        <v>695.71079358594443</v>
      </c>
      <c r="L309" s="4">
        <f t="shared" si="199"/>
        <v>1002.5047965195654</v>
      </c>
      <c r="M309" s="4">
        <f t="shared" si="199"/>
        <v>1358.9025112075883</v>
      </c>
      <c r="N309" s="4">
        <f t="shared" si="199"/>
        <v>1763.1035909325469</v>
      </c>
      <c r="O309" s="4">
        <f t="shared" si="199"/>
        <v>2223.4136956015759</v>
      </c>
    </row>
  </sheetData>
  <pageMargins left="0.7" right="0.7"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7EF78-A6D0-4B27-886B-0D7492F82C79}">
  <dimension ref="B1:BH252"/>
  <sheetViews>
    <sheetView zoomScale="59" zoomScaleNormal="59" workbookViewId="0">
      <selection activeCell="AE2" sqref="AE2"/>
    </sheetView>
  </sheetViews>
  <sheetFormatPr defaultColWidth="8.89453125" defaultRowHeight="14.1" outlineLevelCol="1" x14ac:dyDescent="0.5"/>
  <cols>
    <col min="1" max="1" width="8.89453125" style="146"/>
    <col min="2" max="2" width="41.68359375" style="146" bestFit="1" customWidth="1"/>
    <col min="3" max="14" width="8.89453125" style="146" hidden="1" customWidth="1" outlineLevel="1"/>
    <col min="15" max="15" width="8.89453125" style="146" collapsed="1"/>
    <col min="16" max="44" width="8.89453125" style="146"/>
    <col min="45" max="45" width="9.1015625" style="146" customWidth="1"/>
    <col min="46" max="16384" width="8.89453125" style="146"/>
  </cols>
  <sheetData>
    <row r="1" spans="2:60" x14ac:dyDescent="0.5">
      <c r="H1" s="147"/>
      <c r="I1" s="147"/>
      <c r="J1" s="147"/>
      <c r="K1" s="147">
        <f>K3/J3-1</f>
        <v>0.22505953956073044</v>
      </c>
      <c r="L1" s="147"/>
      <c r="M1" s="147"/>
      <c r="N1" s="147"/>
      <c r="O1" s="147">
        <f t="shared" ref="O1:T1" si="0">O3/N3-1</f>
        <v>0.13362068965517238</v>
      </c>
      <c r="P1" s="147">
        <f t="shared" si="0"/>
        <v>0.15636882129277563</v>
      </c>
      <c r="Q1" s="147">
        <f t="shared" si="0"/>
        <v>0.12371557747636652</v>
      </c>
      <c r="R1" s="147">
        <f t="shared" si="0"/>
        <v>0.20555961960497449</v>
      </c>
      <c r="S1" s="147">
        <f t="shared" si="0"/>
        <v>8.4344660194174859E-2</v>
      </c>
      <c r="T1" s="147">
        <f t="shared" si="0"/>
        <v>0.22355903749300499</v>
      </c>
      <c r="U1" s="147">
        <f t="shared" ref="U1:AE1" si="1">U3/T3-1</f>
        <v>5.6025611708209411E-2</v>
      </c>
      <c r="V1" s="147">
        <f t="shared" si="1"/>
        <v>0.10675617150281513</v>
      </c>
      <c r="W1" s="147">
        <f t="shared" si="1"/>
        <v>3.8935629035413921E-2</v>
      </c>
      <c r="X1" s="147"/>
      <c r="Y1" s="147">
        <f>Y3/W3-1</f>
        <v>9.227871939736354E-2</v>
      </c>
      <c r="Z1" s="147">
        <f t="shared" si="1"/>
        <v>0.17241379310344818</v>
      </c>
      <c r="AA1" s="147">
        <f t="shared" si="1"/>
        <v>0.17160981892918503</v>
      </c>
      <c r="AB1" s="147">
        <f t="shared" si="1"/>
        <v>-5.8610504409529307E-2</v>
      </c>
      <c r="AC1" s="147">
        <f t="shared" si="1"/>
        <v>0.17333333333333334</v>
      </c>
      <c r="AD1" s="147">
        <f t="shared" si="1"/>
        <v>5.6818181818181879E-2</v>
      </c>
      <c r="AE1" s="147">
        <f t="shared" si="1"/>
        <v>9.9186527079619946E-2</v>
      </c>
      <c r="AF1" s="147"/>
      <c r="AG1" s="301"/>
      <c r="AH1" s="301"/>
      <c r="AI1" s="301"/>
    </row>
    <row r="2" spans="2:60" x14ac:dyDescent="0.5">
      <c r="B2" s="148" t="s">
        <v>128</v>
      </c>
      <c r="C2" s="149" t="s">
        <v>97</v>
      </c>
      <c r="D2" s="149" t="s">
        <v>98</v>
      </c>
      <c r="E2" s="149" t="s">
        <v>99</v>
      </c>
      <c r="F2" s="149" t="s">
        <v>100</v>
      </c>
      <c r="G2" s="149" t="s">
        <v>6</v>
      </c>
      <c r="H2" s="149" t="s">
        <v>101</v>
      </c>
      <c r="I2" s="149" t="s">
        <v>102</v>
      </c>
      <c r="J2" s="149" t="s">
        <v>103</v>
      </c>
      <c r="K2" s="149" t="s">
        <v>5</v>
      </c>
      <c r="L2" s="149" t="s">
        <v>406</v>
      </c>
      <c r="M2" s="149" t="s">
        <v>495</v>
      </c>
      <c r="N2" s="149" t="s">
        <v>622</v>
      </c>
      <c r="O2" s="149" t="s">
        <v>785</v>
      </c>
      <c r="P2" s="149" t="s">
        <v>835</v>
      </c>
      <c r="Q2" s="149" t="s">
        <v>845</v>
      </c>
      <c r="R2" s="149" t="s">
        <v>1078</v>
      </c>
      <c r="S2" s="149" t="s">
        <v>1240</v>
      </c>
      <c r="T2" s="149" t="s">
        <v>1293</v>
      </c>
      <c r="U2" s="149" t="s">
        <v>1457</v>
      </c>
      <c r="V2" s="149" t="s">
        <v>1775</v>
      </c>
      <c r="W2" s="149" t="s">
        <v>1914</v>
      </c>
      <c r="X2" s="149" t="s">
        <v>2131</v>
      </c>
      <c r="Y2" s="149" t="s">
        <v>1296</v>
      </c>
      <c r="Z2" s="149" t="s">
        <v>1297</v>
      </c>
      <c r="AA2" s="149" t="s">
        <v>1298</v>
      </c>
      <c r="AB2" s="149" t="s">
        <v>2003</v>
      </c>
      <c r="AC2" s="149" t="s">
        <v>2004</v>
      </c>
      <c r="AD2" s="149" t="s">
        <v>2005</v>
      </c>
      <c r="AE2" s="149" t="s">
        <v>2006</v>
      </c>
      <c r="AF2" s="149"/>
      <c r="AG2" s="302" t="s">
        <v>1614</v>
      </c>
      <c r="AH2" s="302" t="s">
        <v>1615</v>
      </c>
      <c r="AI2" s="302" t="s">
        <v>2007</v>
      </c>
      <c r="AJ2" s="149" t="s">
        <v>485</v>
      </c>
      <c r="AK2" s="149" t="str">
        <f t="shared" ref="AK2:BA2" si="2">G2</f>
        <v>Q1 20</v>
      </c>
      <c r="AL2" s="149" t="str">
        <f t="shared" si="2"/>
        <v>Q2 20</v>
      </c>
      <c r="AM2" s="149" t="str">
        <f t="shared" si="2"/>
        <v>Q3 20</v>
      </c>
      <c r="AN2" s="149" t="str">
        <f t="shared" si="2"/>
        <v>Q4 20</v>
      </c>
      <c r="AO2" s="149" t="str">
        <f t="shared" si="2"/>
        <v>Q1 21</v>
      </c>
      <c r="AP2" s="149" t="str">
        <f t="shared" si="2"/>
        <v>Q2 21</v>
      </c>
      <c r="AQ2" s="149" t="str">
        <f t="shared" si="2"/>
        <v>Q3 21</v>
      </c>
      <c r="AR2" s="149" t="str">
        <f t="shared" si="2"/>
        <v>Q4 21</v>
      </c>
      <c r="AS2" s="149" t="str">
        <f t="shared" si="2"/>
        <v>Q1 22</v>
      </c>
      <c r="AT2" s="149" t="str">
        <f t="shared" si="2"/>
        <v>Q2 22</v>
      </c>
      <c r="AU2" s="149" t="str">
        <f t="shared" si="2"/>
        <v>Q3 22</v>
      </c>
      <c r="AV2" s="149" t="str">
        <f t="shared" si="2"/>
        <v>Q4 22</v>
      </c>
      <c r="AW2" s="149" t="str">
        <f t="shared" si="2"/>
        <v>Q1 23</v>
      </c>
      <c r="AX2" s="149" t="str">
        <f t="shared" si="2"/>
        <v>Q2 23</v>
      </c>
      <c r="AY2" s="149" t="str">
        <f t="shared" si="2"/>
        <v>Q3 23</v>
      </c>
      <c r="AZ2" s="149" t="str">
        <f t="shared" si="2"/>
        <v>Q4 23</v>
      </c>
      <c r="BA2" s="149" t="str">
        <f t="shared" si="2"/>
        <v>Q1 24</v>
      </c>
      <c r="BB2" s="149" t="str">
        <f t="shared" ref="BB2:BH2" si="3">Y2</f>
        <v>Q2 24E</v>
      </c>
      <c r="BC2" s="149" t="str">
        <f t="shared" si="3"/>
        <v>Q3 24E</v>
      </c>
      <c r="BD2" s="149" t="str">
        <f t="shared" si="3"/>
        <v>Q4 24E</v>
      </c>
      <c r="BE2" s="149" t="str">
        <f t="shared" si="3"/>
        <v>Q1 25E</v>
      </c>
      <c r="BF2" s="149" t="str">
        <f t="shared" si="3"/>
        <v>Q2 25E</v>
      </c>
      <c r="BG2" s="149" t="str">
        <f t="shared" si="3"/>
        <v>Q3 25E</v>
      </c>
      <c r="BH2" s="149" t="str">
        <f t="shared" si="3"/>
        <v>Q4 25E</v>
      </c>
    </row>
    <row r="3" spans="2:60" x14ac:dyDescent="0.5">
      <c r="B3" s="146" t="s">
        <v>0</v>
      </c>
      <c r="C3" s="150"/>
      <c r="D3" s="150"/>
      <c r="E3" s="150"/>
      <c r="F3" s="150"/>
      <c r="G3" s="151">
        <v>388.2</v>
      </c>
      <c r="H3" s="151">
        <v>348</v>
      </c>
      <c r="I3" s="152">
        <v>572</v>
      </c>
      <c r="J3" s="151">
        <f>Master!E43*1000-G3-H3-I3</f>
        <v>755.8</v>
      </c>
      <c r="K3" s="151">
        <v>925.9</v>
      </c>
      <c r="L3" s="151">
        <v>1456</v>
      </c>
      <c r="M3" s="151">
        <v>1812</v>
      </c>
      <c r="N3" s="151">
        <v>1856</v>
      </c>
      <c r="O3" s="151">
        <v>2104</v>
      </c>
      <c r="P3" s="151">
        <v>2433</v>
      </c>
      <c r="Q3" s="151">
        <v>2734</v>
      </c>
      <c r="R3" s="151">
        <v>3296</v>
      </c>
      <c r="S3" s="151">
        <v>3574</v>
      </c>
      <c r="T3" s="151">
        <v>4373</v>
      </c>
      <c r="U3" s="151">
        <v>4618</v>
      </c>
      <c r="V3" s="151">
        <v>5111</v>
      </c>
      <c r="W3" s="151">
        <v>5310</v>
      </c>
      <c r="X3" s="151"/>
      <c r="Y3" s="153">
        <v>5800</v>
      </c>
      <c r="Z3" s="153">
        <v>6800</v>
      </c>
      <c r="AA3" s="151">
        <f>Master!I43*1000-W3-Y3-Z3</f>
        <v>7966.9467687184588</v>
      </c>
      <c r="AB3" s="153">
        <v>7500</v>
      </c>
      <c r="AC3" s="153">
        <v>8800</v>
      </c>
      <c r="AD3" s="153">
        <v>9300</v>
      </c>
      <c r="AE3" s="151">
        <f>Master!J43*1000-AB3-AC3-AD3</f>
        <v>10222.434701840466</v>
      </c>
      <c r="AF3" s="151"/>
      <c r="AG3" s="303"/>
      <c r="AH3" s="303"/>
      <c r="AI3" s="303"/>
      <c r="AK3" s="150"/>
      <c r="AL3" s="150"/>
      <c r="AM3" s="150"/>
      <c r="AN3" s="150"/>
      <c r="AO3" s="147">
        <f t="shared" ref="AO3:BA3" si="4">K3/G3-1</f>
        <v>1.3851107676455436</v>
      </c>
      <c r="AP3" s="147">
        <f t="shared" si="4"/>
        <v>3.1839080459770113</v>
      </c>
      <c r="AQ3" s="147">
        <f t="shared" si="4"/>
        <v>2.1678321678321679</v>
      </c>
      <c r="AR3" s="147">
        <f t="shared" si="4"/>
        <v>1.4556761047896272</v>
      </c>
      <c r="AS3" s="147">
        <f t="shared" si="4"/>
        <v>1.2723836267415489</v>
      </c>
      <c r="AT3" s="147">
        <f t="shared" si="4"/>
        <v>0.67101648351648358</v>
      </c>
      <c r="AU3" s="147">
        <f t="shared" si="4"/>
        <v>0.50883002207505523</v>
      </c>
      <c r="AV3" s="147">
        <f t="shared" si="4"/>
        <v>0.77586206896551735</v>
      </c>
      <c r="AW3" s="147">
        <f t="shared" si="4"/>
        <v>0.69866920152091261</v>
      </c>
      <c r="AX3" s="147">
        <f t="shared" si="4"/>
        <v>0.79736950267159878</v>
      </c>
      <c r="AY3" s="147">
        <f t="shared" si="4"/>
        <v>0.68910021945866862</v>
      </c>
      <c r="AZ3" s="147">
        <f t="shared" si="4"/>
        <v>0.55066747572815533</v>
      </c>
      <c r="BA3" s="147">
        <f t="shared" si="4"/>
        <v>0.4857302742025742</v>
      </c>
      <c r="BB3" s="147">
        <f>Y3/T3-1</f>
        <v>0.32632060370455074</v>
      </c>
      <c r="BC3" s="147">
        <f>Z3/U3-1</f>
        <v>0.47249891728020788</v>
      </c>
      <c r="BD3" s="147">
        <f>AA3/V3-1</f>
        <v>0.55878434136538035</v>
      </c>
      <c r="BE3" s="147">
        <f>AB3/W3-1</f>
        <v>0.41242937853107353</v>
      </c>
      <c r="BF3" s="147">
        <f t="shared" ref="BF3:BH3" si="5">AC3/Y3-1</f>
        <v>0.51724137931034475</v>
      </c>
      <c r="BG3" s="147">
        <f t="shared" si="5"/>
        <v>0.36764705882352944</v>
      </c>
      <c r="BH3" s="147">
        <f t="shared" si="5"/>
        <v>0.28310568635628264</v>
      </c>
    </row>
    <row r="4" spans="2:60" x14ac:dyDescent="0.5">
      <c r="B4" s="158" t="s">
        <v>1079</v>
      </c>
      <c r="C4" s="150"/>
      <c r="D4" s="150"/>
      <c r="E4" s="150"/>
      <c r="F4" s="150"/>
      <c r="G4" s="151"/>
      <c r="H4" s="151"/>
      <c r="I4" s="152"/>
      <c r="J4" s="151">
        <f>N4/2.19</f>
        <v>647.03196347031962</v>
      </c>
      <c r="K4" s="151">
        <v>539</v>
      </c>
      <c r="L4" s="151">
        <v>931</v>
      </c>
      <c r="M4" s="151">
        <v>1244</v>
      </c>
      <c r="N4" s="151">
        <v>1417</v>
      </c>
      <c r="O4" s="151">
        <f>O7*O3</f>
        <v>1578</v>
      </c>
      <c r="P4" s="151">
        <f>P7*P3</f>
        <v>1824.75</v>
      </c>
      <c r="Q4" s="151">
        <f>Q3-Q5</f>
        <v>2054</v>
      </c>
      <c r="R4" s="151">
        <v>2344</v>
      </c>
      <c r="S4" s="151">
        <v>2503</v>
      </c>
      <c r="T4" s="151">
        <v>3190</v>
      </c>
      <c r="U4" s="151">
        <v>3429</v>
      </c>
      <c r="V4" s="151">
        <v>3701</v>
      </c>
      <c r="W4" s="151">
        <v>3657</v>
      </c>
      <c r="X4" s="151"/>
      <c r="Y4" s="151"/>
      <c r="Z4" s="151"/>
      <c r="AA4" s="151"/>
      <c r="AB4" s="151"/>
      <c r="AC4" s="151"/>
      <c r="AD4" s="151"/>
      <c r="AE4" s="151"/>
      <c r="AF4" s="151"/>
      <c r="AG4" s="303"/>
      <c r="AH4" s="303"/>
      <c r="AI4" s="303"/>
      <c r="AK4" s="150"/>
      <c r="AL4" s="150"/>
      <c r="AM4" s="150"/>
      <c r="AN4" s="150"/>
      <c r="AO4" s="147"/>
      <c r="AP4" s="147"/>
      <c r="AQ4" s="147"/>
      <c r="AR4" s="147"/>
      <c r="AS4" s="147"/>
      <c r="AT4" s="147"/>
      <c r="AU4" s="147"/>
      <c r="AV4" s="147"/>
      <c r="AW4" s="147"/>
      <c r="AX4" s="147"/>
      <c r="AY4" s="147"/>
      <c r="AZ4" s="147"/>
      <c r="BA4" s="147"/>
      <c r="BB4" s="147"/>
      <c r="BC4" s="147"/>
      <c r="BD4" s="147"/>
    </row>
    <row r="5" spans="2:60" x14ac:dyDescent="0.5">
      <c r="B5" s="158" t="s">
        <v>1080</v>
      </c>
      <c r="C5" s="150"/>
      <c r="D5" s="150"/>
      <c r="E5" s="150"/>
      <c r="F5" s="150"/>
      <c r="G5" s="151"/>
      <c r="H5" s="151"/>
      <c r="I5" s="152"/>
      <c r="J5" s="151">
        <f t="shared" ref="J5:P5" si="6">J3-J4</f>
        <v>108.76803652968033</v>
      </c>
      <c r="K5" s="151">
        <f t="shared" si="6"/>
        <v>386.9</v>
      </c>
      <c r="L5" s="151">
        <f t="shared" si="6"/>
        <v>525</v>
      </c>
      <c r="M5" s="151">
        <f t="shared" si="6"/>
        <v>568</v>
      </c>
      <c r="N5" s="151">
        <f t="shared" si="6"/>
        <v>439</v>
      </c>
      <c r="O5" s="151">
        <f t="shared" si="6"/>
        <v>526</v>
      </c>
      <c r="P5" s="151">
        <f t="shared" si="6"/>
        <v>608.25</v>
      </c>
      <c r="Q5" s="151">
        <f>R5/1.4</f>
        <v>680</v>
      </c>
      <c r="R5" s="151">
        <f>R3-R4</f>
        <v>952</v>
      </c>
      <c r="S5" s="151">
        <v>1072</v>
      </c>
      <c r="T5" s="151">
        <v>1184</v>
      </c>
      <c r="U5" s="151">
        <v>1189</v>
      </c>
      <c r="V5" s="151">
        <f>V3-V4</f>
        <v>1410</v>
      </c>
      <c r="W5" s="151">
        <f>W3-W4</f>
        <v>1653</v>
      </c>
      <c r="X5" s="151"/>
      <c r="Y5" s="151"/>
      <c r="Z5" s="151"/>
      <c r="AA5" s="151"/>
      <c r="AB5" s="151"/>
      <c r="AC5" s="151"/>
      <c r="AD5" s="151"/>
      <c r="AE5" s="151"/>
      <c r="AF5" s="151"/>
      <c r="AG5" s="303"/>
      <c r="AH5" s="303"/>
      <c r="AI5" s="303"/>
      <c r="AK5" s="150"/>
      <c r="AL5" s="150"/>
      <c r="AM5" s="150"/>
      <c r="AN5" s="150"/>
      <c r="AO5" s="147"/>
      <c r="AP5" s="147"/>
      <c r="AQ5" s="147"/>
      <c r="AR5" s="147"/>
      <c r="AS5" s="147"/>
      <c r="AT5" s="147"/>
      <c r="AU5" s="147"/>
      <c r="AV5" s="147"/>
      <c r="AW5" s="147"/>
      <c r="AX5" s="147"/>
      <c r="AY5" s="147"/>
      <c r="AZ5" s="147"/>
      <c r="BA5" s="147"/>
      <c r="BB5" s="147"/>
      <c r="BC5" s="147"/>
      <c r="BD5" s="147"/>
    </row>
    <row r="6" spans="2:60" x14ac:dyDescent="0.5">
      <c r="B6" s="158" t="s">
        <v>57</v>
      </c>
      <c r="C6" s="150"/>
      <c r="D6" s="150"/>
      <c r="E6" s="150"/>
      <c r="F6" s="150"/>
      <c r="G6" s="151"/>
      <c r="H6" s="151"/>
      <c r="I6" s="152"/>
      <c r="J6" s="151"/>
      <c r="K6" s="151"/>
      <c r="L6" s="151"/>
      <c r="M6" s="151"/>
      <c r="N6" s="151"/>
      <c r="O6" s="151"/>
      <c r="P6" s="151"/>
      <c r="Q6" s="151"/>
      <c r="R6" s="151"/>
      <c r="S6" s="151"/>
      <c r="T6" s="151"/>
      <c r="U6" s="151"/>
      <c r="V6" s="151"/>
      <c r="W6" s="151"/>
      <c r="X6" s="151"/>
      <c r="Y6" s="151"/>
      <c r="Z6" s="151"/>
      <c r="AA6" s="151"/>
      <c r="AB6" s="151"/>
      <c r="AC6" s="151"/>
      <c r="AD6" s="151"/>
      <c r="AE6" s="151"/>
      <c r="AF6" s="151"/>
      <c r="AG6" s="303"/>
      <c r="AH6" s="303"/>
      <c r="AI6" s="303"/>
      <c r="AK6" s="150"/>
      <c r="AL6" s="150"/>
      <c r="AM6" s="150"/>
      <c r="AN6" s="150"/>
      <c r="AO6" s="147"/>
      <c r="AP6" s="147"/>
      <c r="AQ6" s="147"/>
      <c r="AR6" s="147"/>
      <c r="AS6" s="147"/>
      <c r="AT6" s="147"/>
      <c r="AU6" s="147"/>
      <c r="AV6" s="147"/>
      <c r="AW6" s="147"/>
      <c r="AX6" s="147"/>
      <c r="AY6" s="147"/>
      <c r="AZ6" s="147"/>
      <c r="BA6" s="147"/>
      <c r="BB6" s="147"/>
      <c r="BC6" s="147"/>
      <c r="BD6" s="147"/>
    </row>
    <row r="7" spans="2:60" x14ac:dyDescent="0.5">
      <c r="B7" s="158" t="str">
        <f>B4</f>
        <v xml:space="preserve"> - Pay-ins</v>
      </c>
      <c r="C7" s="150"/>
      <c r="D7" s="150"/>
      <c r="E7" s="150"/>
      <c r="F7" s="150"/>
      <c r="G7" s="151"/>
      <c r="H7" s="151"/>
      <c r="I7" s="152"/>
      <c r="J7" s="223">
        <f>J4/J3</f>
        <v>0.85608886407822127</v>
      </c>
      <c r="K7" s="223">
        <f>K4/K3</f>
        <v>0.58213629981639492</v>
      </c>
      <c r="L7" s="223">
        <f>L4/L3</f>
        <v>0.63942307692307687</v>
      </c>
      <c r="M7" s="223">
        <f>M4/M3</f>
        <v>0.68653421633554079</v>
      </c>
      <c r="N7" s="223">
        <f>N4/N3</f>
        <v>0.76346982758620685</v>
      </c>
      <c r="O7" s="223">
        <v>0.75</v>
      </c>
      <c r="P7" s="223">
        <v>0.75</v>
      </c>
      <c r="Q7" s="223">
        <f t="shared" ref="Q7:V7" si="7">Q4/Q3</f>
        <v>0.75128017556693494</v>
      </c>
      <c r="R7" s="223">
        <f t="shared" si="7"/>
        <v>0.71116504854368934</v>
      </c>
      <c r="S7" s="223">
        <f t="shared" si="7"/>
        <v>0.70033575825405703</v>
      </c>
      <c r="T7" s="223">
        <f t="shared" si="7"/>
        <v>0.72947633203750284</v>
      </c>
      <c r="U7" s="223">
        <f t="shared" si="7"/>
        <v>0.74252923343438715</v>
      </c>
      <c r="V7" s="223">
        <f t="shared" si="7"/>
        <v>0.72412443748777144</v>
      </c>
      <c r="W7" s="223">
        <f t="shared" ref="W7" si="8">W4/W3</f>
        <v>0.68870056497175136</v>
      </c>
      <c r="X7" s="223"/>
      <c r="Y7" s="151"/>
      <c r="Z7" s="151"/>
      <c r="AA7" s="151"/>
      <c r="AB7" s="151"/>
      <c r="AC7" s="151"/>
      <c r="AD7" s="151"/>
      <c r="AE7" s="151"/>
      <c r="AF7" s="151"/>
      <c r="AG7" s="303"/>
      <c r="AH7" s="303"/>
      <c r="AI7" s="303"/>
      <c r="AK7" s="150"/>
      <c r="AL7" s="150"/>
      <c r="AM7" s="150"/>
      <c r="AN7" s="150"/>
      <c r="AO7" s="147"/>
      <c r="AP7" s="147"/>
      <c r="AQ7" s="147"/>
      <c r="AR7" s="147"/>
      <c r="AS7" s="147"/>
      <c r="AT7" s="147"/>
      <c r="AU7" s="147"/>
      <c r="AV7" s="147"/>
      <c r="AW7" s="147"/>
      <c r="AX7" s="147"/>
      <c r="AY7" s="147"/>
      <c r="AZ7" s="147"/>
      <c r="BA7" s="147"/>
      <c r="BB7" s="147"/>
      <c r="BC7" s="147"/>
      <c r="BD7" s="147"/>
    </row>
    <row r="8" spans="2:60" x14ac:dyDescent="0.5">
      <c r="B8" s="158" t="str">
        <f>B5</f>
        <v xml:space="preserve"> - Pay-outs</v>
      </c>
      <c r="C8" s="150"/>
      <c r="D8" s="150"/>
      <c r="E8" s="150"/>
      <c r="F8" s="150"/>
      <c r="G8" s="151"/>
      <c r="H8" s="151"/>
      <c r="I8" s="152"/>
      <c r="J8" s="223">
        <f>100%-J7</f>
        <v>0.14391113592177873</v>
      </c>
      <c r="K8" s="223">
        <f>100%-K7</f>
        <v>0.41786370018360508</v>
      </c>
      <c r="L8" s="223">
        <f>100%-L7</f>
        <v>0.36057692307692313</v>
      </c>
      <c r="M8" s="223">
        <f>100%-M7</f>
        <v>0.31346578366445921</v>
      </c>
      <c r="N8" s="223">
        <f>100%-N7</f>
        <v>0.23653017241379315</v>
      </c>
      <c r="O8" s="223">
        <f>1-O7</f>
        <v>0.25</v>
      </c>
      <c r="P8" s="223">
        <f>1-P7</f>
        <v>0.25</v>
      </c>
      <c r="Q8" s="223">
        <f t="shared" ref="Q8:V8" si="9">100%-Q7</f>
        <v>0.24871982443306506</v>
      </c>
      <c r="R8" s="223">
        <f t="shared" si="9"/>
        <v>0.28883495145631066</v>
      </c>
      <c r="S8" s="223">
        <f t="shared" si="9"/>
        <v>0.29966424174594297</v>
      </c>
      <c r="T8" s="223">
        <f t="shared" si="9"/>
        <v>0.27052366796249716</v>
      </c>
      <c r="U8" s="223">
        <f t="shared" si="9"/>
        <v>0.25747076656561285</v>
      </c>
      <c r="V8" s="223">
        <f t="shared" si="9"/>
        <v>0.27587556251222856</v>
      </c>
      <c r="W8" s="223">
        <f t="shared" ref="W8" si="10">100%-W7</f>
        <v>0.31129943502824864</v>
      </c>
      <c r="X8" s="223"/>
      <c r="Y8" s="151"/>
      <c r="Z8" s="151"/>
      <c r="AA8" s="151"/>
      <c r="AB8" s="151"/>
      <c r="AC8" s="151"/>
      <c r="AD8" s="151"/>
      <c r="AE8" s="151"/>
      <c r="AF8" s="151"/>
      <c r="AG8" s="303"/>
      <c r="AH8" s="303"/>
      <c r="AI8" s="303"/>
      <c r="AK8" s="150"/>
      <c r="AL8" s="150"/>
      <c r="AM8" s="150"/>
      <c r="AN8" s="150"/>
      <c r="AO8" s="147"/>
      <c r="AP8" s="147"/>
      <c r="AQ8" s="147"/>
      <c r="AR8" s="147"/>
      <c r="AS8" s="147"/>
      <c r="AT8" s="147"/>
      <c r="AU8" s="147"/>
      <c r="AV8" s="147"/>
      <c r="AW8" s="147"/>
      <c r="AX8" s="147"/>
      <c r="AY8" s="147"/>
      <c r="AZ8" s="147"/>
      <c r="BA8" s="147"/>
      <c r="BB8" s="147"/>
      <c r="BC8" s="147"/>
      <c r="BD8" s="147"/>
    </row>
    <row r="9" spans="2:60" x14ac:dyDescent="0.5">
      <c r="B9" s="158"/>
      <c r="C9" s="150"/>
      <c r="D9" s="150"/>
      <c r="E9" s="150"/>
      <c r="F9" s="150"/>
      <c r="G9" s="151"/>
      <c r="H9" s="151"/>
      <c r="I9" s="152"/>
      <c r="J9" s="151"/>
      <c r="K9" s="151"/>
      <c r="L9" s="151"/>
      <c r="M9" s="151"/>
      <c r="N9" s="151"/>
      <c r="O9" s="151"/>
      <c r="P9" s="151"/>
      <c r="Q9" s="151"/>
      <c r="R9" s="223"/>
      <c r="S9" s="223"/>
      <c r="T9" s="223"/>
      <c r="U9" s="223"/>
      <c r="V9" s="223"/>
      <c r="W9" s="151"/>
      <c r="X9" s="151"/>
      <c r="Y9" s="151"/>
      <c r="Z9" s="151"/>
      <c r="AA9" s="151"/>
      <c r="AB9" s="151"/>
      <c r="AC9" s="151"/>
      <c r="AD9" s="151"/>
      <c r="AE9" s="151"/>
      <c r="AF9" s="151"/>
      <c r="AG9" s="303"/>
      <c r="AH9" s="303"/>
      <c r="AI9" s="303"/>
      <c r="AK9" s="150"/>
      <c r="AL9" s="150"/>
      <c r="AM9" s="150"/>
      <c r="AN9" s="150"/>
      <c r="AO9" s="147"/>
      <c r="AP9" s="147"/>
      <c r="AQ9" s="147"/>
      <c r="AR9" s="147"/>
      <c r="AS9" s="147"/>
      <c r="AT9" s="147"/>
      <c r="AU9" s="147"/>
      <c r="AV9" s="147"/>
      <c r="AW9" s="147"/>
      <c r="AX9" s="147"/>
      <c r="AY9" s="147"/>
      <c r="AZ9" s="147"/>
      <c r="BA9" s="147"/>
      <c r="BB9" s="147"/>
      <c r="BC9" s="147"/>
      <c r="BD9" s="147"/>
    </row>
    <row r="10" spans="2:60" x14ac:dyDescent="0.5">
      <c r="B10" s="158" t="s">
        <v>1081</v>
      </c>
      <c r="C10" s="150"/>
      <c r="D10" s="150"/>
      <c r="E10" s="150"/>
      <c r="F10" s="150"/>
      <c r="G10" s="151"/>
      <c r="H10" s="151"/>
      <c r="I10" s="152"/>
      <c r="J10" s="151"/>
      <c r="K10" s="151">
        <v>636</v>
      </c>
      <c r="L10" s="151">
        <v>963</v>
      </c>
      <c r="M10" s="151">
        <v>1182</v>
      </c>
      <c r="N10" s="151">
        <v>1167</v>
      </c>
      <c r="O10" s="151">
        <f>O3-O11</f>
        <v>1409.6799999999998</v>
      </c>
      <c r="P10" s="151">
        <f>P3-P11</f>
        <v>1630.1100000000001</v>
      </c>
      <c r="Q10" s="151">
        <f>0.56*Q3</f>
        <v>1531.0400000000002</v>
      </c>
      <c r="R10" s="151">
        <v>1745</v>
      </c>
      <c r="S10" s="151">
        <v>1960</v>
      </c>
      <c r="T10" s="151">
        <v>2219</v>
      </c>
      <c r="U10" s="151">
        <v>2256</v>
      </c>
      <c r="V10" s="151">
        <v>2235</v>
      </c>
      <c r="W10" s="151">
        <v>2426</v>
      </c>
      <c r="X10" s="151"/>
      <c r="Y10" s="151"/>
      <c r="Z10" s="151"/>
      <c r="AA10" s="151"/>
      <c r="AB10" s="151"/>
      <c r="AC10" s="151"/>
      <c r="AD10" s="151"/>
      <c r="AE10" s="151"/>
      <c r="AF10" s="151"/>
      <c r="AG10" s="303"/>
      <c r="AH10" s="303"/>
      <c r="AI10" s="303"/>
      <c r="AK10" s="150"/>
      <c r="AL10" s="150"/>
      <c r="AM10" s="150"/>
      <c r="AN10" s="150"/>
      <c r="AO10" s="147"/>
      <c r="AP10" s="147"/>
      <c r="AQ10" s="147"/>
      <c r="AR10" s="147"/>
      <c r="AS10" s="147"/>
      <c r="AT10" s="147"/>
      <c r="AU10" s="147"/>
      <c r="AV10" s="147"/>
      <c r="AW10" s="147"/>
      <c r="AX10" s="147"/>
      <c r="AY10" s="147"/>
      <c r="AZ10" s="147"/>
      <c r="BA10" s="147"/>
      <c r="BB10" s="147"/>
      <c r="BC10" s="147"/>
      <c r="BD10" s="147"/>
    </row>
    <row r="11" spans="2:60" x14ac:dyDescent="0.5">
      <c r="B11" s="158" t="s">
        <v>1082</v>
      </c>
      <c r="C11" s="150"/>
      <c r="D11" s="150"/>
      <c r="E11" s="150"/>
      <c r="F11" s="150"/>
      <c r="G11" s="151"/>
      <c r="H11" s="151"/>
      <c r="I11" s="152"/>
      <c r="J11" s="151"/>
      <c r="K11" s="151">
        <f>K3-K10</f>
        <v>289.89999999999998</v>
      </c>
      <c r="L11" s="151">
        <f>L3-L10</f>
        <v>493</v>
      </c>
      <c r="M11" s="151">
        <f>M3-M10</f>
        <v>630</v>
      </c>
      <c r="N11" s="151">
        <f>N3-N10</f>
        <v>689</v>
      </c>
      <c r="O11" s="151">
        <f>O14*O3</f>
        <v>694.32</v>
      </c>
      <c r="P11" s="151">
        <f>P14*P3</f>
        <v>802.89</v>
      </c>
      <c r="Q11" s="151">
        <f>Q3-Q10</f>
        <v>1202.9599999999998</v>
      </c>
      <c r="R11" s="151">
        <f>R3-R10</f>
        <v>1551</v>
      </c>
      <c r="S11" s="151">
        <v>1615</v>
      </c>
      <c r="T11" s="151">
        <v>2154</v>
      </c>
      <c r="U11" s="151">
        <v>2362</v>
      </c>
      <c r="V11" s="151">
        <v>2876</v>
      </c>
      <c r="W11" s="151">
        <f>W3-W10</f>
        <v>2884</v>
      </c>
      <c r="X11" s="151"/>
      <c r="Y11" s="151"/>
      <c r="Z11" s="151"/>
      <c r="AA11" s="151"/>
      <c r="AB11" s="151"/>
      <c r="AC11" s="151"/>
      <c r="AD11" s="151"/>
      <c r="AE11" s="151"/>
      <c r="AF11" s="151"/>
      <c r="AG11" s="303"/>
      <c r="AH11" s="303"/>
      <c r="AI11" s="303"/>
      <c r="AK11" s="150"/>
      <c r="AL11" s="150"/>
      <c r="AM11" s="150"/>
      <c r="AN11" s="150"/>
      <c r="AO11" s="147"/>
      <c r="AP11" s="147"/>
      <c r="AQ11" s="147"/>
      <c r="AR11" s="147"/>
      <c r="AS11" s="147"/>
      <c r="AT11" s="147"/>
      <c r="AU11" s="147"/>
      <c r="AV11" s="147"/>
      <c r="AW11" s="147"/>
      <c r="AX11" s="147"/>
      <c r="AY11" s="147"/>
      <c r="AZ11" s="147"/>
      <c r="BA11" s="147"/>
      <c r="BB11" s="147"/>
      <c r="BC11" s="147"/>
      <c r="BD11" s="147"/>
    </row>
    <row r="12" spans="2:60" x14ac:dyDescent="0.5">
      <c r="B12" s="158" t="s">
        <v>57</v>
      </c>
      <c r="C12" s="150"/>
      <c r="D12" s="150"/>
      <c r="E12" s="150"/>
      <c r="F12" s="150"/>
      <c r="G12" s="151"/>
      <c r="H12" s="151"/>
      <c r="I12" s="152"/>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303"/>
      <c r="AH12" s="303"/>
      <c r="AI12" s="303"/>
      <c r="AK12" s="150"/>
      <c r="AL12" s="150"/>
      <c r="AM12" s="150"/>
      <c r="AN12" s="150"/>
      <c r="AO12" s="147"/>
      <c r="AP12" s="147"/>
      <c r="AQ12" s="147"/>
      <c r="AR12" s="147"/>
      <c r="AS12" s="147"/>
      <c r="AT12" s="147"/>
      <c r="AU12" s="147"/>
      <c r="AV12" s="147"/>
      <c r="AW12" s="147"/>
      <c r="AX12" s="147"/>
      <c r="AY12" s="147"/>
      <c r="AZ12" s="147"/>
      <c r="BA12" s="147"/>
      <c r="BB12" s="147"/>
      <c r="BC12" s="147"/>
      <c r="BD12" s="147"/>
    </row>
    <row r="13" spans="2:60" x14ac:dyDescent="0.5">
      <c r="B13" s="158" t="str">
        <f>B10</f>
        <v>- X-border</v>
      </c>
      <c r="C13" s="150"/>
      <c r="D13" s="150"/>
      <c r="E13" s="150"/>
      <c r="F13" s="150"/>
      <c r="G13" s="151"/>
      <c r="H13" s="151"/>
      <c r="I13" s="152"/>
      <c r="J13" s="151"/>
      <c r="K13" s="223">
        <f>K10/K3</f>
        <v>0.68689923317852897</v>
      </c>
      <c r="L13" s="223">
        <f>L10/L3</f>
        <v>0.66140109890109888</v>
      </c>
      <c r="M13" s="223">
        <f>M10/M3</f>
        <v>0.65231788079470199</v>
      </c>
      <c r="N13" s="223">
        <f>N10/N3</f>
        <v>0.6287715517241379</v>
      </c>
      <c r="O13" s="223">
        <f>1-O14</f>
        <v>0.66999999999999993</v>
      </c>
      <c r="P13" s="223">
        <f>1-P14</f>
        <v>0.66999999999999993</v>
      </c>
      <c r="Q13" s="223">
        <f t="shared" ref="Q13:V13" si="11">Q10/Q3</f>
        <v>0.56000000000000005</v>
      </c>
      <c r="R13" s="223">
        <f t="shared" si="11"/>
        <v>0.52942961165048541</v>
      </c>
      <c r="S13" s="223">
        <f t="shared" si="11"/>
        <v>0.54840514829322884</v>
      </c>
      <c r="T13" s="223">
        <f t="shared" si="11"/>
        <v>0.50743196890006859</v>
      </c>
      <c r="U13" s="223">
        <f t="shared" si="11"/>
        <v>0.48852317020355129</v>
      </c>
      <c r="V13" s="223">
        <f t="shared" si="11"/>
        <v>0.43729211504597926</v>
      </c>
      <c r="W13" s="223">
        <f t="shared" ref="W13" si="12">W10/W3</f>
        <v>0.45687382297551787</v>
      </c>
      <c r="X13" s="223"/>
      <c r="Y13" s="151"/>
      <c r="Z13" s="151"/>
      <c r="AA13" s="151"/>
      <c r="AB13" s="151"/>
      <c r="AC13" s="151"/>
      <c r="AD13" s="151"/>
      <c r="AE13" s="151"/>
      <c r="AF13" s="151"/>
      <c r="AG13" s="303"/>
      <c r="AH13" s="303"/>
      <c r="AI13" s="303"/>
      <c r="AK13" s="150"/>
      <c r="AL13" s="150"/>
      <c r="AM13" s="150"/>
      <c r="AN13" s="150"/>
      <c r="AO13" s="147"/>
      <c r="AP13" s="147"/>
      <c r="AQ13" s="147"/>
      <c r="AR13" s="147"/>
      <c r="AS13" s="147"/>
      <c r="AT13" s="147"/>
      <c r="AU13" s="147"/>
      <c r="AV13" s="147"/>
      <c r="AW13" s="147"/>
      <c r="AX13" s="147"/>
      <c r="AY13" s="147"/>
      <c r="AZ13" s="147"/>
      <c r="BA13" s="147"/>
      <c r="BB13" s="147"/>
      <c r="BC13" s="147"/>
      <c r="BD13" s="147"/>
    </row>
    <row r="14" spans="2:60" x14ac:dyDescent="0.5">
      <c r="B14" s="158" t="str">
        <f>B11</f>
        <v>- local to local</v>
      </c>
      <c r="C14" s="150"/>
      <c r="D14" s="150"/>
      <c r="E14" s="150"/>
      <c r="F14" s="150"/>
      <c r="G14" s="151"/>
      <c r="H14" s="151"/>
      <c r="I14" s="152"/>
      <c r="J14" s="151"/>
      <c r="K14" s="223">
        <f>100%-K13</f>
        <v>0.31310076682147103</v>
      </c>
      <c r="L14" s="223">
        <f>100%-L13</f>
        <v>0.33859890109890112</v>
      </c>
      <c r="M14" s="223">
        <f>100%-M13</f>
        <v>0.34768211920529801</v>
      </c>
      <c r="N14" s="223">
        <f>100%-N13</f>
        <v>0.3712284482758621</v>
      </c>
      <c r="O14" s="223">
        <v>0.33</v>
      </c>
      <c r="P14" s="223">
        <v>0.33</v>
      </c>
      <c r="Q14" s="223">
        <f t="shared" ref="Q14:V14" si="13">100%-Q13</f>
        <v>0.43999999999999995</v>
      </c>
      <c r="R14" s="223">
        <f t="shared" si="13"/>
        <v>0.47057038834951459</v>
      </c>
      <c r="S14" s="223">
        <f t="shared" si="13"/>
        <v>0.45159485170677116</v>
      </c>
      <c r="T14" s="223">
        <f t="shared" si="13"/>
        <v>0.49256803109993141</v>
      </c>
      <c r="U14" s="223">
        <f t="shared" si="13"/>
        <v>0.51147682979644871</v>
      </c>
      <c r="V14" s="223">
        <f t="shared" si="13"/>
        <v>0.5627078849540208</v>
      </c>
      <c r="W14" s="223">
        <f t="shared" ref="W14" si="14">100%-W13</f>
        <v>0.54312617702448218</v>
      </c>
      <c r="X14" s="223"/>
      <c r="Y14" s="151"/>
      <c r="Z14" s="151"/>
      <c r="AA14" s="151"/>
      <c r="AB14" s="151"/>
      <c r="AC14" s="151"/>
      <c r="AD14" s="151"/>
      <c r="AE14" s="151"/>
      <c r="AF14" s="151"/>
      <c r="AG14" s="303"/>
      <c r="AH14" s="303"/>
      <c r="AI14" s="303"/>
      <c r="AK14" s="150"/>
      <c r="AL14" s="150"/>
      <c r="AM14" s="150"/>
      <c r="AN14" s="150"/>
      <c r="AO14" s="147"/>
      <c r="AP14" s="147"/>
      <c r="AQ14" s="147"/>
      <c r="AR14" s="147"/>
      <c r="AS14" s="147"/>
      <c r="AT14" s="147"/>
      <c r="AU14" s="147"/>
      <c r="AV14" s="147"/>
      <c r="AW14" s="147"/>
      <c r="AX14" s="147"/>
      <c r="AY14" s="147"/>
      <c r="AZ14" s="147"/>
      <c r="BA14" s="147"/>
      <c r="BB14" s="147"/>
      <c r="BC14" s="147"/>
      <c r="BD14" s="147"/>
    </row>
    <row r="15" spans="2:60" x14ac:dyDescent="0.5">
      <c r="B15" s="154"/>
      <c r="C15" s="150"/>
      <c r="D15" s="150"/>
      <c r="E15" s="150"/>
      <c r="F15" s="150"/>
      <c r="G15" s="150"/>
      <c r="H15" s="150"/>
      <c r="I15" s="150"/>
      <c r="J15" s="150"/>
      <c r="K15" s="150"/>
      <c r="L15" s="150"/>
      <c r="M15" s="150"/>
      <c r="N15" s="150"/>
      <c r="O15" s="150"/>
      <c r="P15" s="204"/>
      <c r="Q15" s="214">
        <f>Q159+Q35</f>
        <v>118.82508</v>
      </c>
      <c r="R15" s="150"/>
      <c r="S15" s="150"/>
      <c r="T15" s="150"/>
      <c r="U15" s="150"/>
      <c r="V15" s="150"/>
      <c r="W15" s="150"/>
      <c r="X15" s="150"/>
      <c r="Y15" s="150"/>
      <c r="Z15" s="150"/>
      <c r="AA15" s="150"/>
      <c r="AB15" s="150"/>
      <c r="AC15" s="150"/>
      <c r="AD15" s="150"/>
      <c r="AE15" s="150"/>
      <c r="AF15" s="150"/>
      <c r="AG15" s="304"/>
      <c r="AH15" s="304"/>
      <c r="AI15" s="304"/>
      <c r="AK15" s="150"/>
      <c r="AL15" s="150"/>
      <c r="AM15" s="150"/>
      <c r="AN15" s="150"/>
      <c r="AO15" s="150"/>
      <c r="AP15" s="150"/>
      <c r="AQ15" s="150"/>
      <c r="AR15" s="150"/>
      <c r="AS15" s="150"/>
      <c r="AT15" s="150"/>
      <c r="AU15" s="150"/>
      <c r="AV15" s="150"/>
      <c r="AW15" s="150"/>
      <c r="AX15" s="150"/>
      <c r="AY15" s="150"/>
      <c r="AZ15" s="150"/>
      <c r="BA15" s="150"/>
    </row>
    <row r="16" spans="2:60" x14ac:dyDescent="0.5">
      <c r="B16" s="146" t="s">
        <v>1609</v>
      </c>
      <c r="C16" s="150"/>
      <c r="D16" s="150"/>
      <c r="E16" s="150"/>
      <c r="F16" s="150"/>
      <c r="G16" s="150"/>
      <c r="H16" s="150"/>
      <c r="I16" s="150"/>
      <c r="J16" s="150"/>
      <c r="K16" s="150"/>
      <c r="L16" s="223">
        <v>0.63</v>
      </c>
      <c r="M16" s="223">
        <v>0.56999999999999995</v>
      </c>
      <c r="N16" s="223">
        <v>0.54</v>
      </c>
      <c r="O16" s="223">
        <v>0.52</v>
      </c>
      <c r="P16" s="223">
        <v>0.51</v>
      </c>
      <c r="Q16" s="223">
        <v>0.53</v>
      </c>
      <c r="R16" s="223">
        <v>0.55000000000000004</v>
      </c>
      <c r="S16" s="223">
        <v>0.57999999999999996</v>
      </c>
      <c r="T16" s="223">
        <v>0.59</v>
      </c>
      <c r="U16" s="223">
        <v>0.6</v>
      </c>
      <c r="V16" s="223"/>
      <c r="W16" s="223"/>
      <c r="X16" s="223"/>
      <c r="Y16" s="150"/>
      <c r="Z16" s="150"/>
      <c r="AA16" s="150"/>
      <c r="AB16" s="150"/>
      <c r="AC16" s="150"/>
      <c r="AD16" s="150"/>
      <c r="AE16" s="150"/>
      <c r="AF16" s="150"/>
      <c r="AG16" s="304"/>
      <c r="AH16" s="304"/>
      <c r="AI16" s="304"/>
      <c r="AK16" s="150"/>
      <c r="AL16" s="150"/>
      <c r="AM16" s="150"/>
      <c r="AN16" s="150"/>
      <c r="AO16" s="150"/>
      <c r="AP16" s="150"/>
      <c r="AQ16" s="150"/>
      <c r="AR16" s="150"/>
      <c r="AS16" s="150"/>
      <c r="AT16" s="150"/>
      <c r="AU16" s="150"/>
      <c r="AV16" s="150"/>
      <c r="AW16" s="150"/>
      <c r="AX16" s="150"/>
      <c r="AY16" s="150"/>
      <c r="AZ16" s="150"/>
      <c r="BA16" s="150"/>
    </row>
    <row r="17" spans="2:53" x14ac:dyDescent="0.5">
      <c r="B17" s="154"/>
      <c r="C17" s="150"/>
      <c r="D17" s="150"/>
      <c r="E17" s="150"/>
      <c r="F17" s="150"/>
      <c r="G17" s="150"/>
      <c r="H17" s="150"/>
      <c r="I17" s="150"/>
      <c r="J17" s="150"/>
      <c r="K17" s="150"/>
      <c r="L17" s="150"/>
      <c r="M17" s="150"/>
      <c r="N17" s="150"/>
      <c r="O17" s="150"/>
      <c r="P17" s="204"/>
      <c r="Q17" s="204"/>
      <c r="R17" s="150"/>
      <c r="S17" s="150"/>
      <c r="T17" s="150"/>
      <c r="U17" s="150"/>
      <c r="V17" s="150"/>
      <c r="W17" s="150"/>
      <c r="X17" s="150"/>
      <c r="Y17" s="150"/>
      <c r="Z17" s="150"/>
      <c r="AA17" s="150"/>
      <c r="AB17" s="150"/>
      <c r="AC17" s="150"/>
      <c r="AD17" s="150"/>
      <c r="AE17" s="150"/>
      <c r="AF17" s="150"/>
      <c r="AG17" s="304"/>
      <c r="AH17" s="304"/>
      <c r="AI17" s="304"/>
      <c r="AK17" s="150"/>
      <c r="AL17" s="150"/>
      <c r="AM17" s="150"/>
      <c r="AN17" s="150"/>
      <c r="AO17" s="150"/>
      <c r="AP17" s="150"/>
      <c r="AQ17" s="150"/>
      <c r="AR17" s="150"/>
      <c r="AS17" s="150"/>
      <c r="AT17" s="150"/>
      <c r="AU17" s="150"/>
      <c r="AV17" s="150"/>
      <c r="AW17" s="150"/>
      <c r="AX17" s="150"/>
      <c r="AY17" s="150"/>
      <c r="AZ17" s="150"/>
      <c r="BA17" s="150"/>
    </row>
    <row r="18" spans="2:53" x14ac:dyDescent="0.5">
      <c r="B18" s="146" t="s">
        <v>1101</v>
      </c>
      <c r="C18" s="150"/>
      <c r="D18" s="150"/>
      <c r="E18" s="150"/>
      <c r="F18" s="150"/>
      <c r="G18" s="150"/>
      <c r="H18" s="150"/>
      <c r="I18" s="150"/>
      <c r="J18" s="150"/>
      <c r="K18" s="150"/>
      <c r="L18" s="150"/>
      <c r="M18" s="150"/>
      <c r="N18" s="150"/>
      <c r="O18" s="150"/>
      <c r="P18" s="204"/>
      <c r="Q18" s="150"/>
      <c r="R18" s="150"/>
      <c r="S18" s="150"/>
      <c r="T18" s="150"/>
      <c r="U18" s="150"/>
      <c r="V18" s="150"/>
      <c r="W18" s="150"/>
      <c r="X18" s="150"/>
      <c r="Y18" s="150"/>
      <c r="Z18" s="150"/>
      <c r="AA18" s="150"/>
      <c r="AB18" s="150"/>
      <c r="AC18" s="150"/>
      <c r="AD18" s="150"/>
      <c r="AE18" s="150"/>
      <c r="AF18" s="150"/>
      <c r="AG18" s="304"/>
      <c r="AH18" s="304"/>
      <c r="AI18" s="304"/>
      <c r="AK18" s="150"/>
      <c r="AL18" s="150"/>
      <c r="AM18" s="150"/>
      <c r="AN18" s="150"/>
      <c r="AO18" s="150"/>
      <c r="AP18" s="150"/>
      <c r="AQ18" s="150"/>
      <c r="AR18" s="150"/>
      <c r="AS18" s="150"/>
      <c r="AT18" s="150"/>
      <c r="AU18" s="150"/>
      <c r="AV18" s="150"/>
      <c r="AW18" s="150"/>
      <c r="AX18" s="150"/>
      <c r="AY18" s="150"/>
      <c r="AZ18" s="150"/>
      <c r="BA18" s="150"/>
    </row>
    <row r="19" spans="2:53" x14ac:dyDescent="0.5">
      <c r="B19" s="146" t="s">
        <v>1099</v>
      </c>
      <c r="C19" s="150"/>
      <c r="D19" s="150"/>
      <c r="E19" s="150"/>
      <c r="F19" s="150"/>
      <c r="G19" s="150"/>
      <c r="H19" s="150"/>
      <c r="I19" s="150"/>
      <c r="J19" s="150"/>
      <c r="K19" s="150"/>
      <c r="L19" s="150"/>
      <c r="M19" s="150"/>
      <c r="N19" s="150"/>
      <c r="O19" s="150"/>
      <c r="P19" s="223">
        <v>0.33</v>
      </c>
      <c r="Q19" s="150"/>
      <c r="R19" s="150"/>
      <c r="S19" s="150"/>
      <c r="T19" s="150"/>
      <c r="U19" s="150"/>
      <c r="V19" s="150"/>
      <c r="W19" s="150"/>
      <c r="X19" s="150"/>
      <c r="Y19" s="150"/>
      <c r="Z19" s="150"/>
      <c r="AA19" s="150"/>
      <c r="AB19" s="150"/>
      <c r="AC19" s="150"/>
      <c r="AD19" s="150"/>
      <c r="AE19" s="150"/>
      <c r="AF19" s="150"/>
      <c r="AG19" s="304"/>
      <c r="AH19" s="304"/>
      <c r="AI19" s="304"/>
      <c r="AK19" s="150"/>
      <c r="AL19" s="150"/>
      <c r="AM19" s="150"/>
      <c r="AN19" s="150"/>
      <c r="AO19" s="150"/>
      <c r="AP19" s="150"/>
      <c r="AQ19" s="150"/>
      <c r="AR19" s="150"/>
      <c r="AS19" s="150"/>
      <c r="AT19" s="150"/>
      <c r="AU19" s="150"/>
      <c r="AV19" s="150"/>
      <c r="AW19" s="150"/>
      <c r="AX19" s="150"/>
      <c r="AY19" s="150"/>
      <c r="AZ19" s="150"/>
      <c r="BA19" s="150"/>
    </row>
    <row r="20" spans="2:53" x14ac:dyDescent="0.5">
      <c r="B20" s="146" t="s">
        <v>1100</v>
      </c>
      <c r="C20" s="150"/>
      <c r="D20" s="150"/>
      <c r="E20" s="150"/>
      <c r="F20" s="150"/>
      <c r="G20" s="150"/>
      <c r="H20" s="150"/>
      <c r="I20" s="150"/>
      <c r="J20" s="150"/>
      <c r="K20" s="150"/>
      <c r="L20" s="150"/>
      <c r="M20" s="150"/>
      <c r="N20" s="150"/>
      <c r="O20" s="150"/>
      <c r="P20" s="223">
        <v>0.5</v>
      </c>
      <c r="Q20" s="150"/>
      <c r="R20" s="150"/>
      <c r="S20" s="150"/>
      <c r="T20" s="150"/>
      <c r="U20" s="150"/>
      <c r="V20" s="150"/>
      <c r="W20" s="150"/>
      <c r="X20" s="150"/>
      <c r="Y20" s="150"/>
      <c r="Z20" s="150"/>
      <c r="AA20" s="150"/>
      <c r="AB20" s="150"/>
      <c r="AC20" s="150"/>
      <c r="AD20" s="150"/>
      <c r="AE20" s="150"/>
      <c r="AF20" s="150"/>
      <c r="AG20" s="304"/>
      <c r="AH20" s="304"/>
      <c r="AI20" s="304"/>
      <c r="AK20" s="150"/>
      <c r="AL20" s="150"/>
      <c r="AM20" s="150"/>
      <c r="AN20" s="150"/>
      <c r="AO20" s="150"/>
      <c r="AP20" s="150"/>
      <c r="AQ20" s="150"/>
      <c r="AR20" s="150"/>
      <c r="AS20" s="150"/>
      <c r="AT20" s="150"/>
      <c r="AU20" s="150"/>
      <c r="AV20" s="150"/>
      <c r="AW20" s="150"/>
      <c r="AX20" s="150"/>
      <c r="AY20" s="150"/>
      <c r="AZ20" s="150"/>
      <c r="BA20" s="150"/>
    </row>
    <row r="21" spans="2:53" x14ac:dyDescent="0.5">
      <c r="B21" s="154"/>
      <c r="C21" s="150"/>
      <c r="D21" s="150"/>
      <c r="E21" s="150"/>
      <c r="F21" s="150"/>
      <c r="G21" s="150"/>
      <c r="H21" s="150"/>
      <c r="I21" s="150"/>
      <c r="J21" s="150"/>
      <c r="K21" s="150"/>
      <c r="L21" s="150"/>
      <c r="M21" s="150"/>
      <c r="N21" s="150"/>
      <c r="O21" s="150"/>
      <c r="P21" s="204"/>
      <c r="Q21" s="204"/>
      <c r="R21" s="150"/>
      <c r="S21" s="150"/>
      <c r="T21" s="150"/>
      <c r="U21" s="150"/>
      <c r="V21" s="150"/>
      <c r="W21" s="150"/>
      <c r="X21" s="150"/>
      <c r="Y21" s="150"/>
      <c r="Z21" s="150"/>
      <c r="AA21" s="150"/>
      <c r="AB21" s="150"/>
      <c r="AC21" s="150"/>
      <c r="AD21" s="150"/>
      <c r="AE21" s="150"/>
      <c r="AF21" s="150"/>
      <c r="AG21" s="304"/>
      <c r="AH21" s="304"/>
      <c r="AI21" s="304"/>
      <c r="AK21" s="150"/>
      <c r="AL21" s="150"/>
      <c r="AM21" s="150"/>
      <c r="AN21" s="150"/>
      <c r="AO21" s="150"/>
      <c r="AP21" s="150"/>
      <c r="AQ21" s="150"/>
      <c r="AR21" s="150"/>
      <c r="AS21" s="150"/>
      <c r="AT21" s="150"/>
      <c r="AU21" s="150"/>
      <c r="AV21" s="150"/>
      <c r="AW21" s="150"/>
      <c r="AX21" s="150"/>
      <c r="AY21" s="150"/>
      <c r="AZ21" s="150"/>
      <c r="BA21" s="150"/>
    </row>
    <row r="22" spans="2:53" x14ac:dyDescent="0.5">
      <c r="B22" s="158"/>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306"/>
      <c r="AH22" s="306"/>
      <c r="AI22" s="306"/>
    </row>
    <row r="23" spans="2:53" x14ac:dyDescent="0.5">
      <c r="B23" s="219" t="s">
        <v>1083</v>
      </c>
      <c r="C23" s="159"/>
      <c r="D23" s="159"/>
      <c r="E23" s="159"/>
      <c r="F23" s="159"/>
      <c r="G23" s="159"/>
      <c r="H23" s="159"/>
      <c r="I23" s="159"/>
      <c r="J23" s="159"/>
      <c r="K23" s="159"/>
      <c r="L23" s="159"/>
      <c r="M23" s="159"/>
      <c r="N23" s="147"/>
      <c r="O23" s="159"/>
      <c r="P23" s="159"/>
      <c r="Q23" s="159"/>
      <c r="R23" s="147"/>
      <c r="S23" s="147"/>
      <c r="T23" s="147"/>
      <c r="U23" s="147"/>
      <c r="V23" s="147"/>
      <c r="W23" s="147"/>
      <c r="X23" s="147"/>
      <c r="Y23" s="159"/>
      <c r="Z23" s="159"/>
      <c r="AA23" s="159"/>
      <c r="AB23" s="159"/>
      <c r="AC23" s="159"/>
      <c r="AD23" s="159"/>
      <c r="AE23" s="159"/>
      <c r="AF23" s="159"/>
      <c r="AG23" s="306"/>
      <c r="AH23" s="306"/>
      <c r="AI23" s="306"/>
    </row>
    <row r="24" spans="2:53" x14ac:dyDescent="0.5">
      <c r="B24" s="158" t="s">
        <v>64</v>
      </c>
      <c r="C24" s="159"/>
      <c r="D24" s="159"/>
      <c r="E24" s="159"/>
      <c r="F24" s="159"/>
      <c r="G24" s="159"/>
      <c r="H24" s="159"/>
      <c r="I24" s="159"/>
      <c r="J24" s="159"/>
      <c r="K24" s="159">
        <v>9.3000000000000007</v>
      </c>
      <c r="L24" s="159">
        <v>16.5</v>
      </c>
      <c r="M24" s="159">
        <v>17.7</v>
      </c>
      <c r="N24" s="159">
        <v>16.100000000000001</v>
      </c>
      <c r="O24" s="159">
        <v>18.100000000000001</v>
      </c>
      <c r="P24" s="159">
        <v>20.7</v>
      </c>
      <c r="Q24" s="159">
        <v>21.8</v>
      </c>
      <c r="R24" s="159">
        <v>23.4</v>
      </c>
      <c r="S24" s="159">
        <v>22.8</v>
      </c>
      <c r="T24" s="159">
        <v>41.2</v>
      </c>
      <c r="U24" s="159">
        <v>44.7</v>
      </c>
      <c r="V24" s="159">
        <v>50.2</v>
      </c>
      <c r="W24" s="159">
        <v>43.1</v>
      </c>
      <c r="X24" s="159"/>
      <c r="Y24" s="160">
        <v>50</v>
      </c>
      <c r="Z24" s="160">
        <v>61</v>
      </c>
      <c r="AA24" s="159">
        <f>AH24-W24-Y24-Z24</f>
        <v>73.374714828897368</v>
      </c>
      <c r="AB24" s="160">
        <v>67</v>
      </c>
      <c r="AC24" s="160">
        <v>71</v>
      </c>
      <c r="AD24" s="160">
        <v>73</v>
      </c>
      <c r="AE24" s="159">
        <f>AI24-AB24-AC24-AD24</f>
        <v>88.129250000000013</v>
      </c>
      <c r="AF24" s="159"/>
      <c r="AG24" s="306">
        <f>Master!H102</f>
        <v>158.9</v>
      </c>
      <c r="AH24" s="306">
        <f>Master!I102</f>
        <v>227.47471482889736</v>
      </c>
      <c r="AI24" s="306">
        <f>Master!J102</f>
        <v>299.12925000000001</v>
      </c>
      <c r="AV24" s="147"/>
    </row>
    <row r="25" spans="2:53" x14ac:dyDescent="0.5">
      <c r="B25" s="158" t="s">
        <v>75</v>
      </c>
      <c r="C25" s="159"/>
      <c r="D25" s="159"/>
      <c r="E25" s="159"/>
      <c r="F25" s="159"/>
      <c r="G25" s="159"/>
      <c r="H25" s="159"/>
      <c r="I25" s="159"/>
      <c r="J25" s="159"/>
      <c r="K25" s="159">
        <v>10.3</v>
      </c>
      <c r="L25" s="159">
        <v>11.2</v>
      </c>
      <c r="M25" s="159">
        <v>13.6</v>
      </c>
      <c r="N25" s="159">
        <v>15.1</v>
      </c>
      <c r="O25" s="159">
        <v>21.1</v>
      </c>
      <c r="P25" s="159">
        <v>23.2</v>
      </c>
      <c r="Q25" s="159">
        <v>19.100000000000001</v>
      </c>
      <c r="R25" s="159">
        <v>14.2</v>
      </c>
      <c r="S25" s="159">
        <v>20</v>
      </c>
      <c r="T25" s="159">
        <v>20.7</v>
      </c>
      <c r="U25" s="159">
        <v>23.9</v>
      </c>
      <c r="V25" s="159">
        <v>10.5</v>
      </c>
      <c r="W25" s="159">
        <v>13.8</v>
      </c>
      <c r="X25" s="159"/>
      <c r="Y25" s="160">
        <v>16</v>
      </c>
      <c r="Z25" s="160">
        <v>17</v>
      </c>
      <c r="AA25" s="159">
        <f>AH25-W25-Y25-Z25</f>
        <v>17.200000000000003</v>
      </c>
      <c r="AB25" s="160">
        <v>18</v>
      </c>
      <c r="AC25" s="160">
        <v>19</v>
      </c>
      <c r="AD25" s="160">
        <v>19</v>
      </c>
      <c r="AE25" s="159">
        <f>AI25-AB25-AC25-AD25</f>
        <v>19.519999999999996</v>
      </c>
      <c r="AF25" s="159"/>
      <c r="AG25" s="306">
        <f>Master!H112</f>
        <v>75.099999999999994</v>
      </c>
      <c r="AH25" s="306">
        <f>Master!I112</f>
        <v>64</v>
      </c>
      <c r="AI25" s="306">
        <f>Master!J112</f>
        <v>75.52</v>
      </c>
      <c r="AV25" s="147"/>
    </row>
    <row r="26" spans="2:53" x14ac:dyDescent="0.5">
      <c r="B26" s="158" t="s">
        <v>68</v>
      </c>
      <c r="C26" s="159"/>
      <c r="D26" s="159"/>
      <c r="E26" s="159"/>
      <c r="F26" s="159"/>
      <c r="G26" s="159"/>
      <c r="H26" s="159"/>
      <c r="I26" s="159"/>
      <c r="J26" s="159"/>
      <c r="K26" s="159">
        <v>5.9</v>
      </c>
      <c r="L26" s="159">
        <v>7.6</v>
      </c>
      <c r="M26" s="159">
        <v>8.6999999999999993</v>
      </c>
      <c r="N26" s="159">
        <v>11.1</v>
      </c>
      <c r="O26" s="159">
        <v>12.9</v>
      </c>
      <c r="P26" s="159">
        <v>16</v>
      </c>
      <c r="Q26" s="159">
        <v>16.600000000000001</v>
      </c>
      <c r="R26" s="159">
        <v>22.4</v>
      </c>
      <c r="S26" s="159">
        <v>22.7</v>
      </c>
      <c r="T26" s="159">
        <v>28.3</v>
      </c>
      <c r="U26" s="159">
        <v>30.2</v>
      </c>
      <c r="V26" s="159">
        <v>35.6</v>
      </c>
      <c r="W26" s="159">
        <v>34</v>
      </c>
      <c r="X26" s="159"/>
      <c r="Y26" s="160">
        <v>37</v>
      </c>
      <c r="Z26" s="160">
        <v>40</v>
      </c>
      <c r="AA26" s="159">
        <f>AH26-W26-Y26-Z26</f>
        <v>44.344000000000023</v>
      </c>
      <c r="AB26" s="160">
        <v>45</v>
      </c>
      <c r="AC26" s="160">
        <v>49</v>
      </c>
      <c r="AD26" s="160">
        <v>55</v>
      </c>
      <c r="AE26" s="159">
        <f>AI26-AB26-AC26-AD26</f>
        <v>60.71440000000004</v>
      </c>
      <c r="AF26" s="159"/>
      <c r="AG26" s="306">
        <f>Master!H117</f>
        <v>116.80000000000001</v>
      </c>
      <c r="AH26" s="306">
        <f>Master!I117</f>
        <v>155.34400000000002</v>
      </c>
      <c r="AI26" s="306">
        <f>Master!J117</f>
        <v>209.71440000000004</v>
      </c>
      <c r="AV26" s="147"/>
    </row>
    <row r="27" spans="2:53" x14ac:dyDescent="0.5">
      <c r="B27" s="158" t="s">
        <v>74</v>
      </c>
      <c r="C27" s="159"/>
      <c r="D27" s="159"/>
      <c r="E27" s="159"/>
      <c r="F27" s="159"/>
      <c r="G27" s="159"/>
      <c r="H27" s="159"/>
      <c r="I27" s="159"/>
      <c r="J27" s="159"/>
      <c r="K27" s="159">
        <v>4.3</v>
      </c>
      <c r="L27" s="159">
        <v>9.1</v>
      </c>
      <c r="M27" s="159">
        <v>12</v>
      </c>
      <c r="N27" s="159">
        <v>11.1</v>
      </c>
      <c r="O27" s="159">
        <v>12.1</v>
      </c>
      <c r="P27" s="159">
        <v>12.7</v>
      </c>
      <c r="Q27" s="159">
        <v>13.7</v>
      </c>
      <c r="R27" s="159">
        <v>13.9</v>
      </c>
      <c r="S27" s="159">
        <v>14.2</v>
      </c>
      <c r="T27" s="159">
        <v>14.2</v>
      </c>
      <c r="U27" s="159">
        <v>12.4</v>
      </c>
      <c r="V27" s="159">
        <v>14.9</v>
      </c>
      <c r="W27" s="159">
        <v>12.4</v>
      </c>
      <c r="X27" s="159"/>
      <c r="Y27" s="160">
        <v>14</v>
      </c>
      <c r="Z27" s="160">
        <v>16</v>
      </c>
      <c r="AA27" s="159">
        <f>AH27-W27-Y27-Z27</f>
        <v>16.600000000000001</v>
      </c>
      <c r="AB27" s="160">
        <v>17</v>
      </c>
      <c r="AC27" s="160">
        <v>18</v>
      </c>
      <c r="AD27" s="160">
        <v>18</v>
      </c>
      <c r="AE27" s="159">
        <f>AI27-AB27-AC27-AD27</f>
        <v>20.75</v>
      </c>
      <c r="AF27" s="159"/>
      <c r="AG27" s="306">
        <f>Master!H122</f>
        <v>55.699999999999996</v>
      </c>
      <c r="AH27" s="306">
        <f>Master!I122</f>
        <v>59</v>
      </c>
      <c r="AI27" s="306">
        <f>Master!J122</f>
        <v>73.75</v>
      </c>
      <c r="AV27" s="147"/>
    </row>
    <row r="28" spans="2:53" x14ac:dyDescent="0.5">
      <c r="B28" s="224" t="s">
        <v>79</v>
      </c>
      <c r="C28" s="217"/>
      <c r="D28" s="217"/>
      <c r="E28" s="217"/>
      <c r="F28" s="217"/>
      <c r="G28" s="217"/>
      <c r="H28" s="217"/>
      <c r="I28" s="217"/>
      <c r="J28" s="217"/>
      <c r="K28" s="217">
        <v>6.1</v>
      </c>
      <c r="L28" s="217">
        <v>9.1</v>
      </c>
      <c r="M28" s="217">
        <v>10.7</v>
      </c>
      <c r="N28" s="217">
        <v>18</v>
      </c>
      <c r="O28" s="217">
        <v>13.4</v>
      </c>
      <c r="P28" s="217">
        <v>15</v>
      </c>
      <c r="Q28" s="217">
        <v>16</v>
      </c>
      <c r="R28" s="217">
        <v>18.899999999999999</v>
      </c>
      <c r="S28" s="217">
        <v>18.5</v>
      </c>
      <c r="T28" s="217">
        <v>22.5</v>
      </c>
      <c r="U28" s="217">
        <v>24.8</v>
      </c>
      <c r="V28" s="217">
        <v>20.3</v>
      </c>
      <c r="W28" s="217">
        <v>22.1</v>
      </c>
      <c r="X28" s="217"/>
      <c r="Y28" s="278">
        <v>24</v>
      </c>
      <c r="Z28" s="278">
        <v>25</v>
      </c>
      <c r="AA28" s="217">
        <f>AH28-W28-Y28-Z28</f>
        <v>27.914999999999992</v>
      </c>
      <c r="AB28" s="278">
        <v>28</v>
      </c>
      <c r="AC28" s="278">
        <v>30</v>
      </c>
      <c r="AD28" s="278">
        <v>32</v>
      </c>
      <c r="AE28" s="217">
        <f>AI28-AB28-AC28-AD28</f>
        <v>33.768749999999983</v>
      </c>
      <c r="AF28" s="217"/>
      <c r="AG28" s="308">
        <f>Master!H127</f>
        <v>86.1</v>
      </c>
      <c r="AH28" s="308">
        <f>Master!I127</f>
        <v>99.014999999999986</v>
      </c>
      <c r="AI28" s="308">
        <f>Master!J127</f>
        <v>123.76874999999998</v>
      </c>
      <c r="AV28" s="147"/>
    </row>
    <row r="29" spans="2:53" x14ac:dyDescent="0.5">
      <c r="B29" s="158" t="s">
        <v>78</v>
      </c>
      <c r="C29" s="159"/>
      <c r="D29" s="159"/>
      <c r="E29" s="159"/>
      <c r="F29" s="159"/>
      <c r="G29" s="159"/>
      <c r="H29" s="159"/>
      <c r="I29" s="159"/>
      <c r="J29" s="159"/>
      <c r="K29" s="159">
        <f t="shared" ref="K29:Q29" si="15">SUM(K24:K28)</f>
        <v>35.9</v>
      </c>
      <c r="L29" s="159">
        <f t="shared" si="15"/>
        <v>53.5</v>
      </c>
      <c r="M29" s="159">
        <f t="shared" si="15"/>
        <v>62.7</v>
      </c>
      <c r="N29" s="159">
        <f t="shared" si="15"/>
        <v>71.400000000000006</v>
      </c>
      <c r="O29" s="159">
        <f t="shared" si="15"/>
        <v>77.600000000000009</v>
      </c>
      <c r="P29" s="159">
        <f t="shared" si="15"/>
        <v>87.6</v>
      </c>
      <c r="Q29" s="159">
        <f t="shared" si="15"/>
        <v>87.2</v>
      </c>
      <c r="R29" s="159">
        <f t="shared" ref="R29:AE29" si="16">SUM(R24:R28)</f>
        <v>92.799999999999983</v>
      </c>
      <c r="S29" s="159">
        <f t="shared" si="16"/>
        <v>98.2</v>
      </c>
      <c r="T29" s="159">
        <f t="shared" si="16"/>
        <v>126.9</v>
      </c>
      <c r="U29" s="159">
        <f t="shared" si="16"/>
        <v>136</v>
      </c>
      <c r="V29" s="159">
        <f t="shared" si="16"/>
        <v>131.50000000000003</v>
      </c>
      <c r="W29" s="159">
        <f t="shared" si="16"/>
        <v>125.4</v>
      </c>
      <c r="X29" s="159"/>
      <c r="Y29" s="215">
        <f t="shared" si="16"/>
        <v>141</v>
      </c>
      <c r="Z29" s="215">
        <f t="shared" si="16"/>
        <v>159</v>
      </c>
      <c r="AA29" s="159">
        <f t="shared" si="16"/>
        <v>179.43371482889739</v>
      </c>
      <c r="AB29" s="215">
        <f t="shared" si="16"/>
        <v>175</v>
      </c>
      <c r="AC29" s="215">
        <f t="shared" si="16"/>
        <v>187</v>
      </c>
      <c r="AD29" s="215">
        <f t="shared" si="16"/>
        <v>197</v>
      </c>
      <c r="AE29" s="215">
        <f t="shared" si="16"/>
        <v>222.88240000000005</v>
      </c>
      <c r="AF29" s="215"/>
      <c r="AG29" s="393">
        <f>SUM(AG24:AG28)</f>
        <v>492.6</v>
      </c>
      <c r="AH29" s="393">
        <f>SUM(AH24:AH28)</f>
        <v>604.83371482889743</v>
      </c>
      <c r="AI29" s="393">
        <f>SUM(AI24:AI28)</f>
        <v>781.88239999999996</v>
      </c>
      <c r="AV29" s="147"/>
    </row>
    <row r="30" spans="2:53" x14ac:dyDescent="0.5">
      <c r="B30" s="158"/>
      <c r="C30" s="159"/>
      <c r="D30" s="159"/>
      <c r="E30" s="159"/>
      <c r="F30" s="159"/>
      <c r="G30" s="159"/>
      <c r="H30" s="159"/>
      <c r="I30" s="159"/>
      <c r="J30" s="159"/>
      <c r="K30" s="159"/>
      <c r="L30" s="159"/>
      <c r="M30" s="159"/>
      <c r="N30" s="159"/>
      <c r="O30" s="159"/>
      <c r="P30" s="159"/>
      <c r="Q30" s="159"/>
      <c r="R30" s="159"/>
      <c r="S30" s="159"/>
      <c r="T30" s="147"/>
      <c r="U30" s="147"/>
      <c r="V30" s="147"/>
      <c r="W30" s="159"/>
      <c r="X30" s="159"/>
      <c r="Y30" s="159"/>
      <c r="Z30" s="159"/>
      <c r="AA30" s="159"/>
      <c r="AB30" s="159"/>
      <c r="AC30" s="159"/>
      <c r="AD30" s="159"/>
      <c r="AE30" s="159"/>
      <c r="AF30" s="159"/>
      <c r="AG30" s="306"/>
      <c r="AH30" s="306"/>
      <c r="AI30" s="306"/>
    </row>
    <row r="31" spans="2:53" x14ac:dyDescent="0.5">
      <c r="B31" s="158" t="s">
        <v>69</v>
      </c>
      <c r="C31" s="159"/>
      <c r="D31" s="159"/>
      <c r="E31" s="159"/>
      <c r="F31" s="159"/>
      <c r="G31" s="159"/>
      <c r="H31" s="159"/>
      <c r="I31" s="159"/>
      <c r="J31" s="159"/>
      <c r="K31" s="159"/>
      <c r="L31" s="159"/>
      <c r="M31" s="159"/>
      <c r="N31" s="159"/>
      <c r="O31" s="159">
        <v>1.6</v>
      </c>
      <c r="P31" s="159">
        <f>P34-P33</f>
        <v>4.1560000000000059</v>
      </c>
      <c r="Q31" s="159">
        <f>Q34-Q33</f>
        <v>14.617999999999995</v>
      </c>
      <c r="R31" s="159">
        <f>R34-R33</f>
        <v>14.5</v>
      </c>
      <c r="S31" s="159">
        <v>26.9</v>
      </c>
      <c r="T31" s="159">
        <v>20.399999999999999</v>
      </c>
      <c r="U31" s="159">
        <v>8.3000000000000007</v>
      </c>
      <c r="V31" s="159">
        <v>28.4</v>
      </c>
      <c r="W31" s="159">
        <v>7.2</v>
      </c>
      <c r="X31" s="159"/>
      <c r="Y31" s="160">
        <v>9</v>
      </c>
      <c r="Z31" s="160">
        <v>12</v>
      </c>
      <c r="AA31" s="159">
        <f>AH31-W31-Y31-Z31</f>
        <v>14.799999999999997</v>
      </c>
      <c r="AB31" s="160">
        <v>15</v>
      </c>
      <c r="AC31" s="160">
        <v>16</v>
      </c>
      <c r="AD31" s="160">
        <v>17</v>
      </c>
      <c r="AE31" s="159">
        <f>AI31-AB31-AC31-AD31</f>
        <v>18.650000000000006</v>
      </c>
      <c r="AF31" s="159"/>
      <c r="AG31" s="306">
        <f>Master!H136</f>
        <v>84</v>
      </c>
      <c r="AH31" s="306">
        <f>Master!I136</f>
        <v>43</v>
      </c>
      <c r="AI31" s="306">
        <f>Master!J136</f>
        <v>66.650000000000006</v>
      </c>
    </row>
    <row r="32" spans="2:53" x14ac:dyDescent="0.5">
      <c r="B32" s="158" t="s">
        <v>198</v>
      </c>
      <c r="C32" s="159"/>
      <c r="D32" s="159"/>
      <c r="E32" s="159"/>
      <c r="F32" s="159"/>
      <c r="G32" s="159"/>
      <c r="H32" s="159"/>
      <c r="I32" s="159"/>
      <c r="J32" s="159"/>
      <c r="K32" s="159"/>
      <c r="L32" s="159"/>
      <c r="M32" s="159"/>
      <c r="N32" s="159"/>
      <c r="O32" s="159"/>
      <c r="P32" s="159"/>
      <c r="Q32" s="159"/>
      <c r="R32" s="159"/>
      <c r="S32" s="159">
        <v>3.5</v>
      </c>
      <c r="T32" s="159">
        <v>4.7</v>
      </c>
      <c r="U32" s="159">
        <v>10.1</v>
      </c>
      <c r="V32" s="159">
        <v>18.399999999999999</v>
      </c>
      <c r="W32" s="159">
        <v>39</v>
      </c>
      <c r="X32" s="159"/>
      <c r="Y32" s="160">
        <v>15</v>
      </c>
      <c r="Z32" s="160">
        <v>16</v>
      </c>
      <c r="AA32" s="159">
        <f>AH32-W32-Y32-Z32</f>
        <v>15</v>
      </c>
      <c r="AB32" s="160">
        <v>16</v>
      </c>
      <c r="AC32" s="160">
        <v>17</v>
      </c>
      <c r="AD32" s="160">
        <v>18</v>
      </c>
      <c r="AE32" s="159">
        <f>AI32-AB32-AC32-AD32</f>
        <v>19</v>
      </c>
      <c r="AF32" s="159"/>
      <c r="AG32" s="306">
        <f>Master!H141</f>
        <v>36.699999999999996</v>
      </c>
      <c r="AH32" s="306">
        <f>Master!I141</f>
        <v>85</v>
      </c>
      <c r="AI32" s="306">
        <f>Master!J141</f>
        <v>70</v>
      </c>
    </row>
    <row r="33" spans="2:60" x14ac:dyDescent="0.5">
      <c r="B33" s="224" t="s">
        <v>63</v>
      </c>
      <c r="C33" s="217"/>
      <c r="D33" s="217"/>
      <c r="E33" s="217"/>
      <c r="F33" s="217"/>
      <c r="G33" s="217"/>
      <c r="H33" s="217"/>
      <c r="I33" s="217"/>
      <c r="J33" s="217"/>
      <c r="K33" s="217"/>
      <c r="L33" s="217"/>
      <c r="M33" s="217"/>
      <c r="N33" s="217"/>
      <c r="O33" s="217">
        <f>O34-O31</f>
        <v>8.0250000000000004</v>
      </c>
      <c r="P33" s="278">
        <v>9</v>
      </c>
      <c r="Q33" s="278">
        <v>10</v>
      </c>
      <c r="R33" s="278">
        <v>11</v>
      </c>
      <c r="S33" s="217">
        <f>S34-S31-S32</f>
        <v>8.7000000000000099</v>
      </c>
      <c r="T33" s="217">
        <f t="shared" ref="T33:W33" si="17">T34-T31-T32</f>
        <v>9.0999999999999908</v>
      </c>
      <c r="U33" s="217">
        <f t="shared" si="17"/>
        <v>9.5000000000000053</v>
      </c>
      <c r="V33" s="217">
        <f t="shared" ca="1" si="17"/>
        <v>9.7000000000000028</v>
      </c>
      <c r="W33" s="217">
        <f t="shared" ca="1" si="17"/>
        <v>12.799999999999997</v>
      </c>
      <c r="X33" s="217"/>
      <c r="Y33" s="278">
        <v>14</v>
      </c>
      <c r="Z33" s="278">
        <v>16</v>
      </c>
      <c r="AA33" s="217">
        <f ca="1">AH33-W33-Y33-Z33</f>
        <v>19.200000000000003</v>
      </c>
      <c r="AB33" s="278">
        <v>17</v>
      </c>
      <c r="AC33" s="278">
        <v>18</v>
      </c>
      <c r="AD33" s="278">
        <v>19</v>
      </c>
      <c r="AE33" s="217">
        <f>AI33-AB33-AC33-AD33</f>
        <v>26.600000000000009</v>
      </c>
      <c r="AF33" s="217"/>
      <c r="AG33" s="308">
        <f ca="1">Master!H146</f>
        <v>37.000000000000007</v>
      </c>
      <c r="AH33" s="308">
        <f>Master!I146</f>
        <v>62</v>
      </c>
      <c r="AI33" s="308">
        <f>Master!J146</f>
        <v>80.600000000000009</v>
      </c>
    </row>
    <row r="34" spans="2:60" x14ac:dyDescent="0.5">
      <c r="B34" s="158" t="s">
        <v>902</v>
      </c>
      <c r="C34" s="159"/>
      <c r="D34" s="159"/>
      <c r="E34" s="159"/>
      <c r="F34" s="159"/>
      <c r="G34" s="159"/>
      <c r="H34" s="159"/>
      <c r="I34" s="159"/>
      <c r="J34" s="159"/>
      <c r="K34" s="159"/>
      <c r="L34" s="159"/>
      <c r="M34" s="159">
        <f t="shared" ref="M34:R34" si="18">M162</f>
        <v>6.1739999999999995</v>
      </c>
      <c r="N34" s="159">
        <f t="shared" si="18"/>
        <v>6.8670000000000044</v>
      </c>
      <c r="O34" s="159">
        <f t="shared" si="18"/>
        <v>9.625</v>
      </c>
      <c r="P34" s="159">
        <f t="shared" si="18"/>
        <v>13.156000000000006</v>
      </c>
      <c r="Q34" s="159">
        <f t="shared" si="18"/>
        <v>24.617999999999995</v>
      </c>
      <c r="R34" s="159">
        <f t="shared" si="18"/>
        <v>25.5</v>
      </c>
      <c r="S34" s="159">
        <f>S162</f>
        <v>39.100000000000009</v>
      </c>
      <c r="T34" s="159">
        <f>T162</f>
        <v>34.199999999999989</v>
      </c>
      <c r="U34" s="159">
        <f>U162</f>
        <v>27.900000000000006</v>
      </c>
      <c r="V34" s="159">
        <f ca="1">SUM(V31:V33)</f>
        <v>56.5</v>
      </c>
      <c r="W34" s="159">
        <f ca="1">SUM(W31:W33)</f>
        <v>59</v>
      </c>
      <c r="X34" s="159"/>
      <c r="Y34" s="159">
        <f>SUM(Y31:Y33)</f>
        <v>38</v>
      </c>
      <c r="Z34" s="159">
        <f>SUM(Z31:Z33)</f>
        <v>44</v>
      </c>
      <c r="AA34" s="159">
        <f ca="1">SUM(AA31:AA33)</f>
        <v>49</v>
      </c>
      <c r="AB34" s="159">
        <f t="shared" ref="AB34:AI34" si="19">SUM(AB31:AB33)</f>
        <v>48</v>
      </c>
      <c r="AC34" s="159">
        <f t="shared" si="19"/>
        <v>51</v>
      </c>
      <c r="AD34" s="159">
        <f t="shared" si="19"/>
        <v>54</v>
      </c>
      <c r="AE34" s="159">
        <f t="shared" si="19"/>
        <v>64.250000000000014</v>
      </c>
      <c r="AF34" s="159"/>
      <c r="AG34" s="306">
        <f t="shared" ca="1" si="19"/>
        <v>157.69999999999999</v>
      </c>
      <c r="AH34" s="306">
        <f t="shared" si="19"/>
        <v>190</v>
      </c>
      <c r="AI34" s="306">
        <f t="shared" si="19"/>
        <v>217.25</v>
      </c>
    </row>
    <row r="35" spans="2:60" ht="14.4" thickBot="1" x14ac:dyDescent="0.55000000000000004">
      <c r="B35" s="155" t="s">
        <v>130</v>
      </c>
      <c r="C35" s="156">
        <v>7.7569999999999997</v>
      </c>
      <c r="D35" s="156">
        <v>13.958</v>
      </c>
      <c r="E35" s="156">
        <v>15.750999999999999</v>
      </c>
      <c r="F35" s="156">
        <v>17.823</v>
      </c>
      <c r="G35" s="156">
        <v>17.995000000000001</v>
      </c>
      <c r="H35" s="156">
        <v>20.645</v>
      </c>
      <c r="I35" s="156">
        <v>30.85</v>
      </c>
      <c r="J35" s="156">
        <v>34.652999999999999</v>
      </c>
      <c r="K35" s="156">
        <v>40.256</v>
      </c>
      <c r="L35" s="156">
        <v>59</v>
      </c>
      <c r="M35" s="156">
        <v>68.599999999999994</v>
      </c>
      <c r="N35" s="156">
        <v>76.3</v>
      </c>
      <c r="O35" s="156">
        <v>87.5</v>
      </c>
      <c r="P35" s="156">
        <v>101.2</v>
      </c>
      <c r="Q35" s="156">
        <v>111.9</v>
      </c>
      <c r="R35" s="156">
        <v>118.4</v>
      </c>
      <c r="S35" s="156">
        <v>137.30000000000001</v>
      </c>
      <c r="T35" s="156">
        <v>161.1</v>
      </c>
      <c r="U35" s="156">
        <v>163.9</v>
      </c>
      <c r="V35" s="156">
        <v>188</v>
      </c>
      <c r="W35" s="156">
        <v>184.4</v>
      </c>
      <c r="X35" s="156"/>
      <c r="Y35" s="156">
        <f>Y29+Y34</f>
        <v>179</v>
      </c>
      <c r="Z35" s="156">
        <f>Z29+Z34</f>
        <v>203</v>
      </c>
      <c r="AA35" s="156">
        <f>Master!I98-W35-Y35-Z35</f>
        <v>228.43371482889745</v>
      </c>
      <c r="AB35" s="156">
        <f>AB29+AB34</f>
        <v>223</v>
      </c>
      <c r="AC35" s="156">
        <f>AC29+AC34</f>
        <v>238</v>
      </c>
      <c r="AD35" s="156">
        <f>AD29+AD34</f>
        <v>251</v>
      </c>
      <c r="AE35" s="156">
        <f>Master!J98-AB35-AC35-AD35</f>
        <v>287.13239999999996</v>
      </c>
      <c r="AF35" s="156"/>
      <c r="AG35" s="305">
        <f ca="1">AG29+AG34</f>
        <v>650.29999999999995</v>
      </c>
      <c r="AH35" s="305">
        <f>AH29+AH34</f>
        <v>794.83371482889743</v>
      </c>
      <c r="AI35" s="305">
        <f>AI29+AI34</f>
        <v>999.13239999999996</v>
      </c>
      <c r="AK35" s="147">
        <f t="shared" ref="AK35:BA35" si="20">G35/C35-1</f>
        <v>1.3198401443857164</v>
      </c>
      <c r="AL35" s="147">
        <f t="shared" si="20"/>
        <v>0.47908009743516256</v>
      </c>
      <c r="AM35" s="147">
        <f t="shared" si="20"/>
        <v>0.95860580280617125</v>
      </c>
      <c r="AN35" s="147">
        <f t="shared" si="20"/>
        <v>0.94428547382595518</v>
      </c>
      <c r="AO35" s="147">
        <f t="shared" si="20"/>
        <v>1.2370658516254514</v>
      </c>
      <c r="AP35" s="147">
        <f t="shared" si="20"/>
        <v>1.8578348268345848</v>
      </c>
      <c r="AQ35" s="147">
        <f t="shared" si="20"/>
        <v>1.2236628849270663</v>
      </c>
      <c r="AR35" s="147">
        <f t="shared" si="20"/>
        <v>1.2018295674256199</v>
      </c>
      <c r="AS35" s="147">
        <f t="shared" si="20"/>
        <v>1.1735890302066774</v>
      </c>
      <c r="AT35" s="147">
        <f t="shared" si="20"/>
        <v>0.71525423728813564</v>
      </c>
      <c r="AU35" s="147">
        <f t="shared" si="20"/>
        <v>0.63119533527696814</v>
      </c>
      <c r="AV35" s="147">
        <f t="shared" si="20"/>
        <v>0.5517693315858454</v>
      </c>
      <c r="AW35" s="147">
        <f t="shared" si="20"/>
        <v>0.56914285714285717</v>
      </c>
      <c r="AX35" s="147">
        <f t="shared" si="20"/>
        <v>0.59189723320158083</v>
      </c>
      <c r="AY35" s="147">
        <f t="shared" si="20"/>
        <v>0.46470062555853442</v>
      </c>
      <c r="AZ35" s="147">
        <f t="shared" si="20"/>
        <v>0.58783783783783772</v>
      </c>
      <c r="BA35" s="147">
        <f t="shared" si="20"/>
        <v>0.34304442825928616</v>
      </c>
      <c r="BB35" s="147">
        <f>Y35/T35-1</f>
        <v>0.11111111111111116</v>
      </c>
      <c r="BC35" s="147">
        <f>Z35/U35-1</f>
        <v>0.23856009762050023</v>
      </c>
      <c r="BD35" s="147">
        <f>AA35/V35-1</f>
        <v>0.21507295121753955</v>
      </c>
      <c r="BE35" s="147">
        <f>AB35/W35-1</f>
        <v>0.20932754880694149</v>
      </c>
      <c r="BF35" s="147">
        <f t="shared" ref="BF35:BH35" si="21">AC35/Y35-1</f>
        <v>0.32960893854748607</v>
      </c>
      <c r="BG35" s="147">
        <f t="shared" si="21"/>
        <v>0.23645320197044328</v>
      </c>
      <c r="BH35" s="147">
        <f t="shared" si="21"/>
        <v>0.25696156635665313</v>
      </c>
    </row>
    <row r="36" spans="2:60" ht="14.4" thickTop="1" x14ac:dyDescent="0.5">
      <c r="B36" s="158" t="s">
        <v>249</v>
      </c>
      <c r="C36" s="159"/>
      <c r="D36" s="159"/>
      <c r="E36" s="159"/>
      <c r="F36" s="159"/>
      <c r="G36" s="159">
        <v>16.940999999999999</v>
      </c>
      <c r="H36" s="159"/>
      <c r="I36" s="159"/>
      <c r="J36" s="159"/>
      <c r="K36" s="159">
        <v>38.518999999999998</v>
      </c>
      <c r="L36" s="159">
        <f>L35-L47</f>
        <v>57.167999999999999</v>
      </c>
      <c r="M36" s="159">
        <v>66.430000000000007</v>
      </c>
      <c r="N36" s="159">
        <f>N35-N47</f>
        <v>73.8</v>
      </c>
      <c r="O36" s="159">
        <f>O35-O47</f>
        <v>84.819000000000003</v>
      </c>
      <c r="P36" s="159">
        <f>P35-P47</f>
        <v>96.719000000000008</v>
      </c>
      <c r="Q36" s="159">
        <v>97.335999999999999</v>
      </c>
      <c r="R36" s="237">
        <v>112</v>
      </c>
      <c r="S36" s="159">
        <f>294.2-T36</f>
        <v>135.50399999999999</v>
      </c>
      <c r="T36" s="159">
        <v>158.696</v>
      </c>
      <c r="U36" s="237">
        <f>T36/T35*U35</f>
        <v>161.45421725636251</v>
      </c>
      <c r="V36" s="237">
        <f>U36/U35*V35</f>
        <v>185.19458721291122</v>
      </c>
      <c r="W36" s="237">
        <f>V36/V35*W35</f>
        <v>181.64830788330229</v>
      </c>
      <c r="X36" s="237"/>
      <c r="Y36" s="159">
        <f>Y35-Y47</f>
        <v>175.75</v>
      </c>
      <c r="Z36" s="159">
        <f>Z35-Z47</f>
        <v>199.75</v>
      </c>
      <c r="AA36" s="159">
        <f>AA35-AA47</f>
        <v>225.46471637319513</v>
      </c>
      <c r="AB36" s="159"/>
      <c r="AC36" s="159"/>
      <c r="AD36" s="159"/>
      <c r="AE36" s="159"/>
      <c r="AF36" s="159"/>
      <c r="AG36" s="306"/>
      <c r="AH36" s="306"/>
      <c r="AI36" s="306"/>
    </row>
    <row r="37" spans="2:60" x14ac:dyDescent="0.5">
      <c r="B37" s="158"/>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306"/>
      <c r="AH37" s="306"/>
      <c r="AI37" s="306"/>
    </row>
    <row r="38" spans="2:60" x14ac:dyDescent="0.5">
      <c r="B38" s="158" t="s">
        <v>1204</v>
      </c>
      <c r="C38" s="159"/>
      <c r="D38" s="159">
        <f>D35-C35</f>
        <v>6.2010000000000005</v>
      </c>
      <c r="E38" s="159">
        <f t="shared" ref="E38:U38" si="22">E35-D35</f>
        <v>1.7929999999999993</v>
      </c>
      <c r="F38" s="159">
        <f t="shared" si="22"/>
        <v>2.072000000000001</v>
      </c>
      <c r="G38" s="159">
        <f t="shared" si="22"/>
        <v>0.1720000000000006</v>
      </c>
      <c r="H38" s="159">
        <f t="shared" si="22"/>
        <v>2.6499999999999986</v>
      </c>
      <c r="I38" s="159">
        <f t="shared" si="22"/>
        <v>10.205000000000002</v>
      </c>
      <c r="J38" s="159">
        <f t="shared" si="22"/>
        <v>3.8029999999999973</v>
      </c>
      <c r="K38" s="159">
        <f t="shared" si="22"/>
        <v>5.6030000000000015</v>
      </c>
      <c r="L38" s="159">
        <f t="shared" si="22"/>
        <v>18.744</v>
      </c>
      <c r="M38" s="159">
        <f t="shared" si="22"/>
        <v>9.5999999999999943</v>
      </c>
      <c r="N38" s="159">
        <f t="shared" si="22"/>
        <v>7.7000000000000028</v>
      </c>
      <c r="O38" s="159">
        <f t="shared" si="22"/>
        <v>11.200000000000003</v>
      </c>
      <c r="P38" s="159">
        <f t="shared" si="22"/>
        <v>13.700000000000003</v>
      </c>
      <c r="Q38" s="159">
        <f t="shared" si="22"/>
        <v>10.700000000000003</v>
      </c>
      <c r="R38" s="159">
        <f t="shared" si="22"/>
        <v>6.5</v>
      </c>
      <c r="S38" s="159">
        <f t="shared" si="22"/>
        <v>18.900000000000006</v>
      </c>
      <c r="T38" s="159">
        <f t="shared" si="22"/>
        <v>23.799999999999983</v>
      </c>
      <c r="U38" s="159">
        <f t="shared" si="22"/>
        <v>2.8000000000000114</v>
      </c>
      <c r="V38" s="159">
        <f>V35-U35</f>
        <v>24.099999999999994</v>
      </c>
      <c r="W38" s="159">
        <f>W35-V35</f>
        <v>-3.5999999999999943</v>
      </c>
      <c r="X38" s="159"/>
      <c r="Y38" s="159"/>
      <c r="Z38" s="159"/>
      <c r="AA38" s="159"/>
      <c r="AB38" s="159"/>
      <c r="AC38" s="159"/>
      <c r="AD38" s="159"/>
      <c r="AE38" s="159"/>
      <c r="AF38" s="159"/>
      <c r="AG38" s="306"/>
      <c r="AH38" s="306"/>
      <c r="AI38" s="306"/>
    </row>
    <row r="39" spans="2:60" x14ac:dyDescent="0.5">
      <c r="B39" s="158"/>
      <c r="C39" s="159"/>
      <c r="D39" s="159"/>
      <c r="E39" s="159"/>
      <c r="F39" s="159"/>
      <c r="G39" s="159"/>
      <c r="H39" s="159"/>
      <c r="I39" s="159"/>
      <c r="J39" s="159"/>
      <c r="K39" s="159"/>
      <c r="L39" s="159"/>
      <c r="M39" s="159"/>
      <c r="N39" s="159"/>
      <c r="O39" s="159"/>
      <c r="P39" s="159"/>
      <c r="Q39" s="159"/>
      <c r="R39" s="159"/>
      <c r="S39" s="159"/>
      <c r="T39" s="147"/>
      <c r="U39" s="147"/>
      <c r="V39" s="147"/>
      <c r="W39" s="159"/>
      <c r="X39" s="159"/>
      <c r="Y39" s="159"/>
      <c r="Z39" s="159"/>
      <c r="AA39" s="159"/>
      <c r="AB39" s="159"/>
      <c r="AC39" s="159"/>
      <c r="AD39" s="159"/>
      <c r="AE39" s="159"/>
      <c r="AF39" s="159"/>
      <c r="AG39" s="306"/>
      <c r="AH39" s="306"/>
      <c r="AI39" s="306"/>
    </row>
    <row r="40" spans="2:60" x14ac:dyDescent="0.5">
      <c r="B40" s="158" t="s">
        <v>1677</v>
      </c>
      <c r="C40" s="159"/>
      <c r="D40" s="159"/>
      <c r="E40" s="159"/>
      <c r="F40" s="159"/>
      <c r="G40" s="159"/>
      <c r="H40" s="159"/>
      <c r="I40" s="159"/>
      <c r="J40" s="159"/>
      <c r="K40" s="159"/>
      <c r="L40" s="159"/>
      <c r="M40" s="159"/>
      <c r="N40" s="159"/>
      <c r="O40" s="237">
        <v>106.67396562500002</v>
      </c>
      <c r="P40" s="237">
        <v>118.04314615384614</v>
      </c>
      <c r="Q40" s="237">
        <v>135.8178969696969</v>
      </c>
      <c r="R40" s="237">
        <v>162.50708307692304</v>
      </c>
      <c r="S40" s="237">
        <v>192.66707076923078</v>
      </c>
      <c r="T40" s="237">
        <v>232.49595230769222</v>
      </c>
      <c r="U40" s="237">
        <v>313.56274461538464</v>
      </c>
      <c r="V40" s="237">
        <v>620</v>
      </c>
      <c r="W40" s="159"/>
      <c r="X40" s="159"/>
      <c r="Y40" s="160"/>
      <c r="Z40" s="160"/>
      <c r="AA40" s="160"/>
      <c r="AB40" s="160"/>
      <c r="AC40" s="160"/>
      <c r="AD40" s="160"/>
      <c r="AE40" s="160"/>
      <c r="AF40" s="160"/>
      <c r="AG40" s="307"/>
      <c r="AH40" s="307"/>
      <c r="AI40" s="307"/>
    </row>
    <row r="41" spans="2:60" x14ac:dyDescent="0.5">
      <c r="B41" s="158" t="s">
        <v>129</v>
      </c>
      <c r="C41" s="159"/>
      <c r="D41" s="159"/>
      <c r="E41" s="159"/>
      <c r="F41" s="159"/>
      <c r="G41" s="159"/>
      <c r="H41" s="159"/>
      <c r="I41" s="159"/>
      <c r="J41" s="159"/>
      <c r="K41" s="159"/>
      <c r="L41" s="159"/>
      <c r="M41" s="159"/>
      <c r="N41" s="159"/>
      <c r="O41" s="159"/>
      <c r="P41" s="147">
        <f>P40/O40-1</f>
        <v>0.10657877451385978</v>
      </c>
      <c r="Q41" s="147">
        <f t="shared" ref="Q41:V41" si="23">Q40/P40-1</f>
        <v>0.15057842318676307</v>
      </c>
      <c r="R41" s="147">
        <f t="shared" si="23"/>
        <v>0.19650713714983303</v>
      </c>
      <c r="S41" s="147">
        <f t="shared" si="23"/>
        <v>0.18559183465271767</v>
      </c>
      <c r="T41" s="147">
        <f t="shared" si="23"/>
        <v>0.20672386505614626</v>
      </c>
      <c r="U41" s="147">
        <f t="shared" si="23"/>
        <v>0.34868044584452007</v>
      </c>
      <c r="V41" s="147">
        <f t="shared" si="23"/>
        <v>0.97727571481902475</v>
      </c>
      <c r="W41" s="159"/>
      <c r="X41" s="159"/>
      <c r="Y41" s="147"/>
      <c r="Z41" s="147"/>
      <c r="AA41" s="147"/>
      <c r="AB41" s="147"/>
      <c r="AC41" s="147"/>
      <c r="AD41" s="147"/>
      <c r="AE41" s="147"/>
      <c r="AF41" s="147"/>
      <c r="AG41" s="301"/>
      <c r="AH41" s="301"/>
      <c r="AI41" s="301"/>
    </row>
    <row r="42" spans="2:60" x14ac:dyDescent="0.5">
      <c r="B42" s="158"/>
      <c r="C42" s="159"/>
      <c r="D42" s="159"/>
      <c r="E42" s="159"/>
      <c r="F42" s="159"/>
      <c r="G42" s="159"/>
      <c r="H42" s="159"/>
      <c r="I42" s="159"/>
      <c r="J42" s="159"/>
      <c r="K42" s="159"/>
      <c r="L42" s="159"/>
      <c r="M42" s="159"/>
      <c r="N42" s="159"/>
      <c r="O42" s="159"/>
      <c r="P42" s="147"/>
      <c r="Q42" s="147"/>
      <c r="R42" s="147"/>
      <c r="S42" s="147"/>
      <c r="T42" s="147"/>
      <c r="U42" s="147"/>
      <c r="V42" s="147"/>
      <c r="W42" s="159"/>
      <c r="X42" s="159"/>
      <c r="Y42" s="147"/>
      <c r="Z42" s="147"/>
      <c r="AA42" s="147"/>
      <c r="AB42" s="147"/>
      <c r="AC42" s="147"/>
      <c r="AD42" s="147"/>
      <c r="AE42" s="147"/>
      <c r="AF42" s="147"/>
      <c r="AG42" s="301"/>
      <c r="AH42" s="301"/>
      <c r="AI42" s="301"/>
    </row>
    <row r="43" spans="2:60" x14ac:dyDescent="0.5">
      <c r="B43" s="146" t="s">
        <v>1622</v>
      </c>
      <c r="C43" s="159"/>
      <c r="D43" s="159"/>
      <c r="E43" s="159"/>
      <c r="F43" s="159"/>
      <c r="G43" s="159"/>
      <c r="H43" s="159"/>
      <c r="I43" s="159"/>
      <c r="J43" s="159"/>
      <c r="K43" s="165">
        <v>5.4857187499999975</v>
      </c>
      <c r="L43" s="165">
        <v>5.286627692307694</v>
      </c>
      <c r="M43" s="165">
        <v>5.236172727272729</v>
      </c>
      <c r="N43" s="165">
        <v>5.5901303030303033</v>
      </c>
      <c r="O43" s="165">
        <v>5.2227046874999985</v>
      </c>
      <c r="P43" s="165">
        <v>4.9210707692307709</v>
      </c>
      <c r="Q43" s="165">
        <v>5.2464393939393945</v>
      </c>
      <c r="R43" s="165">
        <v>5.2603553846153828</v>
      </c>
      <c r="S43" s="165">
        <v>5.1915200000000015</v>
      </c>
      <c r="T43" s="165">
        <v>4.9467723076923065</v>
      </c>
      <c r="U43" s="165">
        <v>4.8865769230769232</v>
      </c>
      <c r="V43" s="165">
        <v>4.95</v>
      </c>
      <c r="W43" s="165">
        <v>5</v>
      </c>
      <c r="X43" s="165"/>
      <c r="Y43" s="343">
        <v>5.2</v>
      </c>
      <c r="Z43" s="343">
        <v>5.6</v>
      </c>
      <c r="AA43" s="343">
        <v>5.6</v>
      </c>
      <c r="AB43" s="343">
        <v>5.6</v>
      </c>
      <c r="AC43" s="343">
        <v>5.6</v>
      </c>
      <c r="AD43" s="343">
        <v>5.6</v>
      </c>
      <c r="AE43" s="343">
        <v>5.6</v>
      </c>
      <c r="AF43" s="343"/>
      <c r="AG43" s="306"/>
      <c r="AH43" s="306"/>
      <c r="AI43" s="306"/>
    </row>
    <row r="44" spans="2:60" x14ac:dyDescent="0.5">
      <c r="B44" s="158" t="s">
        <v>1295</v>
      </c>
      <c r="C44" s="159"/>
      <c r="D44" s="159"/>
      <c r="E44" s="159"/>
      <c r="F44" s="159"/>
      <c r="G44" s="159"/>
      <c r="H44" s="159"/>
      <c r="I44" s="159"/>
      <c r="J44" s="159"/>
      <c r="K44" s="165">
        <f t="shared" ref="K44:AE44" si="24">K24*K43</f>
        <v>51.017184374999978</v>
      </c>
      <c r="L44" s="165">
        <f t="shared" si="24"/>
        <v>87.229356923076949</v>
      </c>
      <c r="M44" s="165">
        <f t="shared" si="24"/>
        <v>92.680257272727303</v>
      </c>
      <c r="N44" s="165">
        <f t="shared" si="24"/>
        <v>90.001097878787888</v>
      </c>
      <c r="O44" s="165">
        <f t="shared" si="24"/>
        <v>94.530954843749981</v>
      </c>
      <c r="P44" s="165">
        <f t="shared" si="24"/>
        <v>101.86616492307695</v>
      </c>
      <c r="Q44" s="165">
        <f t="shared" si="24"/>
        <v>114.3723787878788</v>
      </c>
      <c r="R44" s="165">
        <f t="shared" si="24"/>
        <v>123.09231599999995</v>
      </c>
      <c r="S44" s="165">
        <f t="shared" si="24"/>
        <v>118.36665600000003</v>
      </c>
      <c r="T44" s="165">
        <f t="shared" si="24"/>
        <v>203.80701907692304</v>
      </c>
      <c r="U44" s="165">
        <f t="shared" si="24"/>
        <v>218.42998846153847</v>
      </c>
      <c r="V44" s="165">
        <f t="shared" si="24"/>
        <v>248.49</v>
      </c>
      <c r="W44" s="165">
        <f t="shared" si="24"/>
        <v>215.5</v>
      </c>
      <c r="X44" s="165"/>
      <c r="Y44" s="165">
        <f t="shared" si="24"/>
        <v>260</v>
      </c>
      <c r="Z44" s="165">
        <f t="shared" si="24"/>
        <v>341.59999999999997</v>
      </c>
      <c r="AA44" s="159">
        <f t="shared" si="24"/>
        <v>410.89840304182525</v>
      </c>
      <c r="AB44" s="159">
        <f t="shared" si="24"/>
        <v>375.2</v>
      </c>
      <c r="AC44" s="159">
        <f t="shared" si="24"/>
        <v>397.59999999999997</v>
      </c>
      <c r="AD44" s="159">
        <f t="shared" si="24"/>
        <v>408.79999999999995</v>
      </c>
      <c r="AE44" s="159">
        <f t="shared" si="24"/>
        <v>493.52380000000005</v>
      </c>
      <c r="AF44" s="159"/>
      <c r="AG44" s="306"/>
      <c r="AH44" s="306"/>
      <c r="AI44" s="306"/>
      <c r="AV44" s="147">
        <f t="shared" ref="AV44:BA44" si="25">R44/N44-1</f>
        <v>0.36767571619824913</v>
      </c>
      <c r="AW44" s="147">
        <f t="shared" si="25"/>
        <v>0.25214704744755867</v>
      </c>
      <c r="AX44" s="147">
        <f t="shared" si="25"/>
        <v>1.0007332094108534</v>
      </c>
      <c r="AY44" s="147">
        <f t="shared" si="25"/>
        <v>0.90981415947158473</v>
      </c>
      <c r="AZ44" s="147">
        <f t="shared" si="25"/>
        <v>1.0187287726392289</v>
      </c>
      <c r="BA44" s="147">
        <f t="shared" si="25"/>
        <v>0.82061407563967959</v>
      </c>
      <c r="BB44" s="147">
        <f>Y44/T44-1</f>
        <v>0.27571661259550639</v>
      </c>
      <c r="BC44" s="147">
        <f>Z44/U44-1</f>
        <v>0.56388782696909523</v>
      </c>
      <c r="BD44" s="147">
        <f>AA44/V44-1</f>
        <v>0.65358124287426156</v>
      </c>
      <c r="BE44" s="147">
        <f>AB44/W44-1</f>
        <v>0.74106728538283062</v>
      </c>
      <c r="BF44" s="147">
        <f t="shared" ref="BF44:BH44" si="26">AC44/Y44-1</f>
        <v>0.52923076923076917</v>
      </c>
      <c r="BG44" s="147">
        <f t="shared" si="26"/>
        <v>0.19672131147540983</v>
      </c>
      <c r="BH44" s="147">
        <f t="shared" si="26"/>
        <v>0.20108473614526168</v>
      </c>
    </row>
    <row r="45" spans="2:60" x14ac:dyDescent="0.5">
      <c r="B45" s="158"/>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306"/>
      <c r="AH45" s="306"/>
      <c r="AI45" s="306"/>
    </row>
    <row r="46" spans="2:60" x14ac:dyDescent="0.5">
      <c r="B46" s="219" t="s">
        <v>1007</v>
      </c>
      <c r="C46" s="157"/>
      <c r="D46" s="157"/>
      <c r="E46" s="157"/>
      <c r="F46" s="157"/>
      <c r="G46" s="220">
        <f t="shared" ref="G46:AE46" si="27">G35/G3</f>
        <v>4.635497166409068E-2</v>
      </c>
      <c r="H46" s="220">
        <f t="shared" si="27"/>
        <v>5.9324712643678161E-2</v>
      </c>
      <c r="I46" s="220">
        <f t="shared" si="27"/>
        <v>5.3933566433566435E-2</v>
      </c>
      <c r="J46" s="220">
        <f t="shared" si="27"/>
        <v>4.5849431066419692E-2</v>
      </c>
      <c r="K46" s="220">
        <f t="shared" si="27"/>
        <v>4.3477697375526515E-2</v>
      </c>
      <c r="L46" s="220">
        <f t="shared" si="27"/>
        <v>4.0521978021978024E-2</v>
      </c>
      <c r="M46" s="220">
        <f t="shared" si="27"/>
        <v>3.7858719646799113E-2</v>
      </c>
      <c r="N46" s="220">
        <f t="shared" si="27"/>
        <v>4.1109913793103449E-2</v>
      </c>
      <c r="O46" s="220">
        <f t="shared" si="27"/>
        <v>4.1587452471482891E-2</v>
      </c>
      <c r="P46" s="220">
        <f t="shared" si="27"/>
        <v>4.1594739005343197E-2</v>
      </c>
      <c r="Q46" s="220">
        <f t="shared" si="27"/>
        <v>4.0929041697147041E-2</v>
      </c>
      <c r="R46" s="220">
        <f t="shared" si="27"/>
        <v>3.5922330097087382E-2</v>
      </c>
      <c r="S46" s="220">
        <f t="shared" si="27"/>
        <v>3.841634023503078E-2</v>
      </c>
      <c r="T46" s="220">
        <f t="shared" si="27"/>
        <v>3.683969814772467E-2</v>
      </c>
      <c r="U46" s="220">
        <f t="shared" si="27"/>
        <v>3.5491554785621479E-2</v>
      </c>
      <c r="V46" s="220">
        <f t="shared" si="27"/>
        <v>3.6783408334963803E-2</v>
      </c>
      <c r="W46" s="220">
        <f t="shared" si="27"/>
        <v>3.4726930320150659E-2</v>
      </c>
      <c r="X46" s="220"/>
      <c r="Y46" s="220">
        <f t="shared" si="27"/>
        <v>3.0862068965517242E-2</v>
      </c>
      <c r="Z46" s="220">
        <f t="shared" si="27"/>
        <v>2.9852941176470589E-2</v>
      </c>
      <c r="AA46" s="220">
        <f t="shared" si="27"/>
        <v>2.867267994381776E-2</v>
      </c>
      <c r="AB46" s="220">
        <f t="shared" si="27"/>
        <v>2.9733333333333334E-2</v>
      </c>
      <c r="AC46" s="220">
        <f t="shared" si="27"/>
        <v>2.7045454545454546E-2</v>
      </c>
      <c r="AD46" s="220">
        <f t="shared" si="27"/>
        <v>2.6989247311827957E-2</v>
      </c>
      <c r="AE46" s="220">
        <f t="shared" si="27"/>
        <v>2.8088455282409788E-2</v>
      </c>
      <c r="AF46" s="220"/>
      <c r="AG46" s="312"/>
      <c r="AH46" s="312"/>
      <c r="AI46" s="312"/>
      <c r="AJ46" s="161"/>
    </row>
    <row r="47" spans="2:60" x14ac:dyDescent="0.5">
      <c r="B47" s="158" t="s">
        <v>250</v>
      </c>
      <c r="C47" s="159"/>
      <c r="D47" s="159"/>
      <c r="E47" s="159"/>
      <c r="F47" s="159"/>
      <c r="G47" s="159"/>
      <c r="H47" s="159"/>
      <c r="I47" s="159"/>
      <c r="J47" s="159"/>
      <c r="K47" s="215">
        <f>5.785-M47-L47</f>
        <v>1.7369999999999999</v>
      </c>
      <c r="L47" s="215">
        <v>1.8320000000000001</v>
      </c>
      <c r="M47" s="215">
        <v>2.2160000000000002</v>
      </c>
      <c r="N47" s="160">
        <v>2.5</v>
      </c>
      <c r="O47" s="215">
        <f>21.726-Q47-P47</f>
        <v>2.6809999999999921</v>
      </c>
      <c r="P47" s="159">
        <v>4.4809999999999999</v>
      </c>
      <c r="Q47" s="159">
        <f t="shared" ref="Q47:W47" si="28">Q35-Q36</f>
        <v>14.564000000000007</v>
      </c>
      <c r="R47" s="159">
        <f t="shared" si="28"/>
        <v>6.4000000000000057</v>
      </c>
      <c r="S47" s="159">
        <f t="shared" si="28"/>
        <v>1.7960000000000207</v>
      </c>
      <c r="T47" s="159">
        <f t="shared" si="28"/>
        <v>2.4039999999999964</v>
      </c>
      <c r="U47" s="159">
        <f t="shared" si="28"/>
        <v>2.4457827436374941</v>
      </c>
      <c r="V47" s="159">
        <f t="shared" si="28"/>
        <v>2.8054127870887839</v>
      </c>
      <c r="W47" s="159">
        <f t="shared" si="28"/>
        <v>2.7516921166977113</v>
      </c>
      <c r="X47" s="159"/>
      <c r="Y47" s="160">
        <v>3.25</v>
      </c>
      <c r="Z47" s="160">
        <v>3.25</v>
      </c>
      <c r="AA47" s="159">
        <f>Master!I97-W47-Y47-Z47</f>
        <v>2.9689984557023106</v>
      </c>
      <c r="AB47" s="159"/>
      <c r="AC47" s="159"/>
      <c r="AD47" s="159"/>
      <c r="AE47" s="159"/>
      <c r="AF47" s="159"/>
      <c r="AG47" s="306"/>
      <c r="AH47" s="306"/>
      <c r="AI47" s="306"/>
    </row>
    <row r="48" spans="2:60" x14ac:dyDescent="0.5">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306"/>
      <c r="AH48" s="306"/>
      <c r="AI48" s="306"/>
    </row>
    <row r="49" spans="2:56" x14ac:dyDescent="0.5">
      <c r="B49" s="146" t="s">
        <v>219</v>
      </c>
      <c r="C49" s="159"/>
      <c r="D49" s="159"/>
      <c r="E49" s="159"/>
      <c r="F49" s="159"/>
      <c r="G49" s="159"/>
      <c r="H49" s="159"/>
      <c r="I49" s="159"/>
      <c r="J49" s="159"/>
      <c r="K49" s="147">
        <v>1.86</v>
      </c>
      <c r="L49" s="147">
        <v>1.96</v>
      </c>
      <c r="M49" s="147">
        <v>1.85</v>
      </c>
      <c r="N49" s="147">
        <v>1.98</v>
      </c>
      <c r="O49" s="147">
        <v>1.9</v>
      </c>
      <c r="P49" s="147">
        <v>1.57</v>
      </c>
      <c r="Q49" s="147">
        <v>1.52</v>
      </c>
      <c r="R49" s="147">
        <v>1.46</v>
      </c>
      <c r="S49" s="147">
        <v>1.47</v>
      </c>
      <c r="T49" s="147">
        <v>1.48</v>
      </c>
      <c r="U49" s="147">
        <v>1.41</v>
      </c>
      <c r="V49" s="147">
        <v>1.49</v>
      </c>
      <c r="W49" s="147">
        <v>1.29</v>
      </c>
      <c r="X49" s="147"/>
      <c r="Y49" s="159"/>
      <c r="Z49" s="159"/>
      <c r="AA49" s="159"/>
      <c r="AB49" s="147"/>
      <c r="AC49" s="147"/>
      <c r="AD49" s="147"/>
      <c r="AE49" s="147"/>
      <c r="AF49" s="147"/>
      <c r="AG49" s="301"/>
      <c r="AH49" s="301"/>
      <c r="AI49" s="301"/>
    </row>
    <row r="50" spans="2:56" x14ac:dyDescent="0.5">
      <c r="B50" s="146" t="s">
        <v>248</v>
      </c>
      <c r="C50" s="159"/>
      <c r="D50" s="159"/>
      <c r="E50" s="159"/>
      <c r="F50" s="159"/>
      <c r="G50" s="159"/>
      <c r="H50" s="159"/>
      <c r="I50" s="159"/>
      <c r="J50" s="159"/>
      <c r="K50" s="159">
        <f t="shared" ref="K50:W50" si="29">(K49-1)*G35</f>
        <v>15.475700000000003</v>
      </c>
      <c r="L50" s="159">
        <f t="shared" si="29"/>
        <v>19.819199999999999</v>
      </c>
      <c r="M50" s="159">
        <f t="shared" si="29"/>
        <v>26.222500000000004</v>
      </c>
      <c r="N50" s="159">
        <f t="shared" si="29"/>
        <v>33.959939999999996</v>
      </c>
      <c r="O50" s="159">
        <f t="shared" si="29"/>
        <v>36.230399999999996</v>
      </c>
      <c r="P50" s="159">
        <f t="shared" si="29"/>
        <v>33.630000000000003</v>
      </c>
      <c r="Q50" s="159">
        <f t="shared" si="29"/>
        <v>35.671999999999997</v>
      </c>
      <c r="R50" s="159">
        <f t="shared" si="29"/>
        <v>35.097999999999999</v>
      </c>
      <c r="S50" s="159">
        <f t="shared" si="29"/>
        <v>41.125</v>
      </c>
      <c r="T50" s="159">
        <f t="shared" si="29"/>
        <v>48.576000000000001</v>
      </c>
      <c r="U50" s="159">
        <f t="shared" si="29"/>
        <v>45.878999999999991</v>
      </c>
      <c r="V50" s="159">
        <f t="shared" si="29"/>
        <v>58.015999999999998</v>
      </c>
      <c r="W50" s="159">
        <f t="shared" si="29"/>
        <v>39.817000000000007</v>
      </c>
      <c r="X50" s="159"/>
      <c r="Y50" s="159"/>
      <c r="Z50" s="159"/>
      <c r="AA50" s="159"/>
      <c r="AB50" s="159"/>
      <c r="AC50" s="159"/>
      <c r="AD50" s="159"/>
      <c r="AE50" s="159"/>
      <c r="AF50" s="159"/>
      <c r="AG50" s="306"/>
      <c r="AH50" s="306"/>
      <c r="AI50" s="306"/>
    </row>
    <row r="51" spans="2:56" x14ac:dyDescent="0.5">
      <c r="B51" s="146" t="s">
        <v>220</v>
      </c>
      <c r="C51" s="159"/>
      <c r="D51" s="159"/>
      <c r="E51" s="159"/>
      <c r="F51" s="159"/>
      <c r="G51" s="159"/>
      <c r="H51" s="159"/>
      <c r="I51" s="159"/>
      <c r="J51" s="159"/>
      <c r="K51" s="159">
        <f t="shared" ref="K51:P51" si="30">K53-K50</f>
        <v>6.7852999999999959</v>
      </c>
      <c r="L51" s="159">
        <f t="shared" si="30"/>
        <v>18.535800000000005</v>
      </c>
      <c r="M51" s="159">
        <f t="shared" si="30"/>
        <v>11.527499999999989</v>
      </c>
      <c r="N51" s="159">
        <f t="shared" si="30"/>
        <v>7.6870600000000024</v>
      </c>
      <c r="O51" s="159">
        <f t="shared" si="30"/>
        <v>11.013600000000004</v>
      </c>
      <c r="P51" s="159">
        <f t="shared" si="30"/>
        <v>8.57</v>
      </c>
      <c r="Q51" s="159">
        <f t="shared" ref="Q51:V51" si="31">Q53-Q50</f>
        <v>7.6280000000000143</v>
      </c>
      <c r="R51" s="159">
        <f t="shared" si="31"/>
        <v>7.0020000000000095</v>
      </c>
      <c r="S51" s="159">
        <f t="shared" si="31"/>
        <v>8.6750000000000114</v>
      </c>
      <c r="T51" s="159">
        <f t="shared" si="31"/>
        <v>11.323999999999991</v>
      </c>
      <c r="U51" s="159">
        <f t="shared" si="31"/>
        <v>6.1210000000000093</v>
      </c>
      <c r="V51" s="159">
        <f t="shared" si="31"/>
        <v>11.583999999999996</v>
      </c>
      <c r="W51" s="159">
        <f t="shared" ref="W51" si="32">W53-W50</f>
        <v>7.282999999999987</v>
      </c>
      <c r="X51" s="159"/>
      <c r="Y51" s="159"/>
      <c r="Z51" s="159"/>
      <c r="AA51" s="159"/>
      <c r="AB51" s="159"/>
      <c r="AC51" s="159"/>
      <c r="AD51" s="159"/>
      <c r="AE51" s="159"/>
      <c r="AF51" s="159"/>
      <c r="AG51" s="306"/>
      <c r="AH51" s="306"/>
      <c r="AI51" s="306"/>
    </row>
    <row r="52" spans="2:56" x14ac:dyDescent="0.5">
      <c r="B52" s="146" t="s">
        <v>844</v>
      </c>
      <c r="C52" s="159"/>
      <c r="D52" s="159"/>
      <c r="E52" s="159"/>
      <c r="F52" s="159"/>
      <c r="G52" s="159"/>
      <c r="H52" s="159"/>
      <c r="I52" s="159"/>
      <c r="J52" s="159"/>
      <c r="K52" s="147">
        <f>K50/K53</f>
        <v>0.69519338753874504</v>
      </c>
      <c r="L52" s="147">
        <f t="shared" ref="L52:P52" si="33">L50/L53</f>
        <v>0.51673054360578796</v>
      </c>
      <c r="M52" s="147">
        <f t="shared" si="33"/>
        <v>0.69463576158940421</v>
      </c>
      <c r="N52" s="147">
        <f t="shared" si="33"/>
        <v>0.81542343986361554</v>
      </c>
      <c r="O52" s="147">
        <f t="shared" si="33"/>
        <v>0.76687833375666747</v>
      </c>
      <c r="P52" s="147">
        <f t="shared" si="33"/>
        <v>0.79691943127962084</v>
      </c>
      <c r="Q52" s="147">
        <f t="shared" ref="Q52:V52" si="34">Q50/Q53</f>
        <v>0.82383371824480345</v>
      </c>
      <c r="R52" s="147">
        <f t="shared" si="34"/>
        <v>0.83368171021377657</v>
      </c>
      <c r="S52" s="147">
        <f t="shared" si="34"/>
        <v>0.82580321285140545</v>
      </c>
      <c r="T52" s="147">
        <f t="shared" si="34"/>
        <v>0.81095158597662786</v>
      </c>
      <c r="U52" s="147">
        <f t="shared" si="34"/>
        <v>0.88228846153846141</v>
      </c>
      <c r="V52" s="147">
        <f t="shared" si="34"/>
        <v>0.83356321839080461</v>
      </c>
      <c r="W52" s="147">
        <f t="shared" ref="W52" si="35">W50/W53</f>
        <v>0.84537154989384311</v>
      </c>
      <c r="X52" s="147"/>
      <c r="Y52" s="159"/>
      <c r="Z52" s="159"/>
      <c r="AA52" s="159"/>
      <c r="AB52" s="147"/>
      <c r="AC52" s="147"/>
      <c r="AD52" s="147"/>
      <c r="AE52" s="147"/>
      <c r="AF52" s="147"/>
      <c r="AG52" s="301"/>
      <c r="AH52" s="301"/>
      <c r="AI52" s="301"/>
    </row>
    <row r="53" spans="2:56" x14ac:dyDescent="0.5">
      <c r="B53" s="146" t="s">
        <v>65</v>
      </c>
      <c r="C53" s="159"/>
      <c r="D53" s="159"/>
      <c r="E53" s="159"/>
      <c r="F53" s="159"/>
      <c r="G53" s="159"/>
      <c r="H53" s="159"/>
      <c r="I53" s="159"/>
      <c r="J53" s="159"/>
      <c r="K53" s="159">
        <f t="shared" ref="K53:W53" si="36">K35-G35</f>
        <v>22.260999999999999</v>
      </c>
      <c r="L53" s="159">
        <f t="shared" si="36"/>
        <v>38.355000000000004</v>
      </c>
      <c r="M53" s="159">
        <f t="shared" si="36"/>
        <v>37.749999999999993</v>
      </c>
      <c r="N53" s="159">
        <f t="shared" si="36"/>
        <v>41.646999999999998</v>
      </c>
      <c r="O53" s="159">
        <f t="shared" si="36"/>
        <v>47.244</v>
      </c>
      <c r="P53" s="159">
        <f t="shared" si="36"/>
        <v>42.2</v>
      </c>
      <c r="Q53" s="159">
        <f t="shared" si="36"/>
        <v>43.300000000000011</v>
      </c>
      <c r="R53" s="159">
        <f t="shared" si="36"/>
        <v>42.100000000000009</v>
      </c>
      <c r="S53" s="159">
        <f t="shared" si="36"/>
        <v>49.800000000000011</v>
      </c>
      <c r="T53" s="159">
        <f t="shared" si="36"/>
        <v>59.899999999999991</v>
      </c>
      <c r="U53" s="159">
        <f t="shared" si="36"/>
        <v>52</v>
      </c>
      <c r="V53" s="159">
        <f t="shared" si="36"/>
        <v>69.599999999999994</v>
      </c>
      <c r="W53" s="159">
        <f t="shared" si="36"/>
        <v>47.099999999999994</v>
      </c>
      <c r="X53" s="159"/>
      <c r="Y53" s="159"/>
      <c r="Z53" s="159"/>
      <c r="AA53" s="159"/>
      <c r="AB53" s="159"/>
      <c r="AC53" s="159"/>
      <c r="AD53" s="159"/>
      <c r="AE53" s="159"/>
      <c r="AF53" s="159"/>
      <c r="AG53" s="306"/>
      <c r="AH53" s="306"/>
      <c r="AI53" s="306"/>
    </row>
    <row r="54" spans="2:56" x14ac:dyDescent="0.5">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306"/>
      <c r="AH54" s="306"/>
      <c r="AI54" s="306"/>
    </row>
    <row r="55" spans="2:56" x14ac:dyDescent="0.5">
      <c r="B55" s="146" t="s">
        <v>104</v>
      </c>
      <c r="C55" s="159">
        <f t="shared" ref="C55:AE55" si="37">C35-C79</f>
        <v>4.2370000000000001</v>
      </c>
      <c r="D55" s="159">
        <f t="shared" si="37"/>
        <v>4.4920000000000009</v>
      </c>
      <c r="E55" s="159">
        <f t="shared" si="37"/>
        <v>4.8929999999999989</v>
      </c>
      <c r="F55" s="159">
        <f t="shared" si="37"/>
        <v>5.7910000000000004</v>
      </c>
      <c r="G55" s="159">
        <f t="shared" si="37"/>
        <v>6.9930000000000003</v>
      </c>
      <c r="H55" s="159">
        <f t="shared" si="37"/>
        <v>9.1219999999999999</v>
      </c>
      <c r="I55" s="159">
        <f t="shared" si="37"/>
        <v>13.969000000000001</v>
      </c>
      <c r="J55" s="159">
        <f t="shared" si="37"/>
        <v>13.980999999999998</v>
      </c>
      <c r="K55" s="159">
        <f t="shared" si="37"/>
        <v>16.989000000000001</v>
      </c>
      <c r="L55" s="159">
        <f t="shared" si="37"/>
        <v>25.200000000000003</v>
      </c>
      <c r="M55" s="159">
        <f t="shared" si="37"/>
        <v>34.155999999999992</v>
      </c>
      <c r="N55" s="159">
        <f t="shared" si="37"/>
        <v>37.4</v>
      </c>
      <c r="O55" s="159">
        <f t="shared" si="37"/>
        <v>43.9</v>
      </c>
      <c r="P55" s="159">
        <f t="shared" si="37"/>
        <v>51.6</v>
      </c>
      <c r="Q55" s="159">
        <f t="shared" si="37"/>
        <v>58.028000000000006</v>
      </c>
      <c r="R55" s="159">
        <f t="shared" si="37"/>
        <v>63.300000000000004</v>
      </c>
      <c r="S55" s="159">
        <f t="shared" si="37"/>
        <v>75.5</v>
      </c>
      <c r="T55" s="159">
        <f t="shared" si="37"/>
        <v>90.399999999999977</v>
      </c>
      <c r="U55" s="159">
        <f t="shared" si="37"/>
        <v>89.4</v>
      </c>
      <c r="V55" s="159">
        <f t="shared" si="37"/>
        <v>118.1</v>
      </c>
      <c r="W55" s="159">
        <f t="shared" si="37"/>
        <v>121.4</v>
      </c>
      <c r="X55" s="159"/>
      <c r="Y55" s="159">
        <f t="shared" si="37"/>
        <v>113.64</v>
      </c>
      <c r="Z55" s="159">
        <f t="shared" si="37"/>
        <v>128.69999999999999</v>
      </c>
      <c r="AA55" s="159">
        <f t="shared" si="37"/>
        <v>143.50496460076056</v>
      </c>
      <c r="AB55" s="159">
        <f t="shared" si="37"/>
        <v>142.14000000000001</v>
      </c>
      <c r="AC55" s="159">
        <f t="shared" si="37"/>
        <v>147.87</v>
      </c>
      <c r="AD55" s="159">
        <f t="shared" si="37"/>
        <v>156.22999999999999</v>
      </c>
      <c r="AE55" s="159">
        <f t="shared" si="37"/>
        <v>175.17702149999997</v>
      </c>
      <c r="AF55" s="159"/>
      <c r="AG55" s="306"/>
      <c r="AH55" s="306"/>
      <c r="AI55" s="306"/>
      <c r="AK55" s="147">
        <f t="shared" ref="AK55:BA55" si="38">G55/C55-1</f>
        <v>0.65046023129572816</v>
      </c>
      <c r="AL55" s="147">
        <f t="shared" si="38"/>
        <v>1.0307212822796079</v>
      </c>
      <c r="AM55" s="147">
        <f t="shared" si="38"/>
        <v>1.8548947475986113</v>
      </c>
      <c r="AN55" s="147">
        <f t="shared" si="38"/>
        <v>1.4142635123467446</v>
      </c>
      <c r="AO55" s="147">
        <f t="shared" si="38"/>
        <v>1.4294294294294296</v>
      </c>
      <c r="AP55" s="147">
        <f t="shared" si="38"/>
        <v>1.7625520719140542</v>
      </c>
      <c r="AQ55" s="147">
        <f t="shared" si="38"/>
        <v>1.4451284988188124</v>
      </c>
      <c r="AR55" s="147">
        <f t="shared" si="38"/>
        <v>1.6750590086546029</v>
      </c>
      <c r="AS55" s="147">
        <f t="shared" si="38"/>
        <v>1.5840249573253278</v>
      </c>
      <c r="AT55" s="147">
        <f t="shared" si="38"/>
        <v>1.0476190476190474</v>
      </c>
      <c r="AU55" s="147">
        <f t="shared" si="38"/>
        <v>0.69891087949408659</v>
      </c>
      <c r="AV55" s="147">
        <f t="shared" si="38"/>
        <v>0.69251336898395732</v>
      </c>
      <c r="AW55" s="147">
        <f t="shared" si="38"/>
        <v>0.71981776765375849</v>
      </c>
      <c r="AX55" s="147">
        <f t="shared" si="38"/>
        <v>0.75193798449612359</v>
      </c>
      <c r="AY55" s="147">
        <f t="shared" si="38"/>
        <v>0.54063555524918994</v>
      </c>
      <c r="AZ55" s="147">
        <f t="shared" si="38"/>
        <v>0.86571879936808815</v>
      </c>
      <c r="BA55" s="147">
        <f t="shared" si="38"/>
        <v>0.60794701986754984</v>
      </c>
      <c r="BB55" s="147"/>
      <c r="BC55" s="147"/>
      <c r="BD55" s="147"/>
    </row>
    <row r="56" spans="2:56" x14ac:dyDescent="0.5">
      <c r="B56" s="146" t="s">
        <v>1098</v>
      </c>
      <c r="C56" s="161">
        <f t="shared" ref="C56:AE56" si="39">C55/C35</f>
        <v>0.54621632074255511</v>
      </c>
      <c r="D56" s="161">
        <f t="shared" si="39"/>
        <v>0.32182261068921053</v>
      </c>
      <c r="E56" s="161">
        <f t="shared" si="39"/>
        <v>0.3106469430512348</v>
      </c>
      <c r="F56" s="161">
        <f t="shared" si="39"/>
        <v>0.32491724176625708</v>
      </c>
      <c r="G56" s="161">
        <f t="shared" si="39"/>
        <v>0.38860794665184772</v>
      </c>
      <c r="H56" s="161">
        <f t="shared" si="39"/>
        <v>0.44185032695567933</v>
      </c>
      <c r="I56" s="161">
        <f t="shared" si="39"/>
        <v>0.45280388978930308</v>
      </c>
      <c r="J56" s="161">
        <f t="shared" si="39"/>
        <v>0.40345713213863155</v>
      </c>
      <c r="K56" s="161">
        <f t="shared" si="39"/>
        <v>0.4220240461049285</v>
      </c>
      <c r="L56" s="161">
        <f t="shared" si="39"/>
        <v>0.42711864406779665</v>
      </c>
      <c r="M56" s="161">
        <f t="shared" si="39"/>
        <v>0.49790087463556842</v>
      </c>
      <c r="N56" s="161">
        <f t="shared" si="39"/>
        <v>0.49017038007863695</v>
      </c>
      <c r="O56" s="161">
        <f t="shared" si="39"/>
        <v>0.50171428571428567</v>
      </c>
      <c r="P56" s="161">
        <f t="shared" si="39"/>
        <v>0.50988142292490124</v>
      </c>
      <c r="Q56" s="161">
        <f t="shared" si="39"/>
        <v>0.51857015192135836</v>
      </c>
      <c r="R56" s="161">
        <f t="shared" si="39"/>
        <v>0.5346283783783784</v>
      </c>
      <c r="S56" s="161">
        <f t="shared" si="39"/>
        <v>0.549890750182083</v>
      </c>
      <c r="T56" s="161">
        <f t="shared" si="39"/>
        <v>0.56114214773432636</v>
      </c>
      <c r="U56" s="161">
        <f t="shared" si="39"/>
        <v>0.54545454545454553</v>
      </c>
      <c r="V56" s="161">
        <f t="shared" si="39"/>
        <v>0.6281914893617021</v>
      </c>
      <c r="W56" s="161">
        <f t="shared" si="39"/>
        <v>0.65835140997830799</v>
      </c>
      <c r="X56" s="161"/>
      <c r="Y56" s="161">
        <f t="shared" si="39"/>
        <v>0.63486033519553076</v>
      </c>
      <c r="Z56" s="161">
        <f t="shared" si="39"/>
        <v>0.63399014778325113</v>
      </c>
      <c r="AA56" s="161">
        <f t="shared" si="39"/>
        <v>0.62821271679729651</v>
      </c>
      <c r="AB56" s="161">
        <f t="shared" si="39"/>
        <v>0.63739910313901349</v>
      </c>
      <c r="AC56" s="161">
        <f t="shared" si="39"/>
        <v>0.62130252100840333</v>
      </c>
      <c r="AD56" s="161">
        <f t="shared" si="39"/>
        <v>0.62243027888446212</v>
      </c>
      <c r="AE56" s="161">
        <f t="shared" si="39"/>
        <v>0.61009144736017251</v>
      </c>
      <c r="AF56" s="161"/>
      <c r="AG56" s="315"/>
      <c r="AH56" s="315"/>
      <c r="AI56" s="315"/>
    </row>
    <row r="57" spans="2:56" x14ac:dyDescent="0.5">
      <c r="B57" s="154" t="s">
        <v>1107</v>
      </c>
      <c r="C57" s="220"/>
      <c r="D57" s="220"/>
      <c r="E57" s="220"/>
      <c r="F57" s="220"/>
      <c r="G57" s="220">
        <f t="shared" ref="G57:AE57" si="40">G55/G3</f>
        <v>1.8013910355486863E-2</v>
      </c>
      <c r="H57" s="220">
        <f t="shared" si="40"/>
        <v>2.6212643678160921E-2</v>
      </c>
      <c r="I57" s="220">
        <f t="shared" si="40"/>
        <v>2.4421328671328672E-2</v>
      </c>
      <c r="J57" s="220">
        <f t="shared" si="40"/>
        <v>1.8498279968245566E-2</v>
      </c>
      <c r="K57" s="220">
        <f t="shared" si="40"/>
        <v>1.834863376174533E-2</v>
      </c>
      <c r="L57" s="220">
        <f t="shared" si="40"/>
        <v>1.7307692307692309E-2</v>
      </c>
      <c r="M57" s="220">
        <f t="shared" si="40"/>
        <v>1.8849889624724059E-2</v>
      </c>
      <c r="N57" s="220">
        <f t="shared" si="40"/>
        <v>2.0150862068965516E-2</v>
      </c>
      <c r="O57" s="220">
        <f t="shared" si="40"/>
        <v>2.0865019011406843E-2</v>
      </c>
      <c r="P57" s="220">
        <f t="shared" si="40"/>
        <v>2.1208384710234278E-2</v>
      </c>
      <c r="Q57" s="220">
        <f t="shared" si="40"/>
        <v>2.1224579370885153E-2</v>
      </c>
      <c r="R57" s="220">
        <f t="shared" si="40"/>
        <v>1.9205097087378643E-2</v>
      </c>
      <c r="S57" s="220">
        <f t="shared" si="40"/>
        <v>2.1124790151091213E-2</v>
      </c>
      <c r="T57" s="220">
        <f t="shared" si="40"/>
        <v>2.0672307340498509E-2</v>
      </c>
      <c r="U57" s="220">
        <f t="shared" si="40"/>
        <v>1.9359029883066262E-2</v>
      </c>
      <c r="V57" s="220">
        <f t="shared" si="40"/>
        <v>2.3107024065740559E-2</v>
      </c>
      <c r="W57" s="220">
        <f t="shared" si="40"/>
        <v>2.2862523540489642E-2</v>
      </c>
      <c r="X57" s="220"/>
      <c r="Y57" s="220">
        <f t="shared" si="40"/>
        <v>1.9593103448275861E-2</v>
      </c>
      <c r="Z57" s="220">
        <f t="shared" si="40"/>
        <v>1.8926470588235291E-2</v>
      </c>
      <c r="AA57" s="220">
        <f t="shared" si="40"/>
        <v>1.801254216536511E-2</v>
      </c>
      <c r="AB57" s="220">
        <f t="shared" si="40"/>
        <v>1.8952000000000004E-2</v>
      </c>
      <c r="AC57" s="220">
        <f t="shared" si="40"/>
        <v>1.6803409090909091E-2</v>
      </c>
      <c r="AD57" s="220">
        <f t="shared" si="40"/>
        <v>1.6798924731182795E-2</v>
      </c>
      <c r="AE57" s="220">
        <f t="shared" si="40"/>
        <v>1.7136526337356871E-2</v>
      </c>
      <c r="AF57" s="220"/>
      <c r="AG57" s="312"/>
      <c r="AH57" s="312"/>
      <c r="AI57" s="312"/>
    </row>
    <row r="58" spans="2:56" x14ac:dyDescent="0.5">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306"/>
      <c r="AH58" s="306"/>
      <c r="AI58" s="306"/>
    </row>
    <row r="59" spans="2:56" x14ac:dyDescent="0.5">
      <c r="B59" s="158" t="s">
        <v>127</v>
      </c>
      <c r="C59" s="160">
        <f>D59/D55*C55</f>
        <v>3.9794960674960667</v>
      </c>
      <c r="D59" s="160">
        <f>E59/E55*D55</f>
        <v>4.2189984269984269</v>
      </c>
      <c r="E59" s="160">
        <f>F59/F55*E55</f>
        <v>4.5956276276276258</v>
      </c>
      <c r="F59" s="160">
        <f>G59/G55*F55</f>
        <v>5.4390516230516228</v>
      </c>
      <c r="G59" s="159">
        <v>6.5679999999999996</v>
      </c>
      <c r="H59" s="160">
        <f>I59/I55*H55</f>
        <v>8.5727148154688315</v>
      </c>
      <c r="I59" s="160">
        <f>J59/J55*I55</f>
        <v>13.127850609217729</v>
      </c>
      <c r="J59" s="160">
        <f>K59/K55*J55</f>
        <v>13.139128024015537</v>
      </c>
      <c r="K59" s="159">
        <v>15.965999999999999</v>
      </c>
      <c r="L59" s="159">
        <f t="shared" ref="L59:R59" si="41">L55-L61</f>
        <v>23.700000000000003</v>
      </c>
      <c r="M59" s="159">
        <f t="shared" si="41"/>
        <v>32.155999999999992</v>
      </c>
      <c r="N59" s="159">
        <f t="shared" si="41"/>
        <v>35.521999999999991</v>
      </c>
      <c r="O59" s="159">
        <f t="shared" si="41"/>
        <v>41.4</v>
      </c>
      <c r="P59" s="159">
        <f t="shared" si="41"/>
        <v>49.1</v>
      </c>
      <c r="Q59" s="215">
        <v>55.28</v>
      </c>
      <c r="R59" s="159">
        <f t="shared" si="41"/>
        <v>60.471000000000011</v>
      </c>
      <c r="S59" s="159">
        <f>S55-S61</f>
        <v>72</v>
      </c>
      <c r="T59" s="159">
        <f>T55-T61</f>
        <v>86.399999999999977</v>
      </c>
      <c r="U59" s="159">
        <v>85.048000000000002</v>
      </c>
      <c r="V59" s="237">
        <f>U59/U55*V55</f>
        <v>112.35088143176733</v>
      </c>
      <c r="W59" s="237">
        <f>V59/V55*W55</f>
        <v>115.49023713646534</v>
      </c>
      <c r="X59" s="237"/>
      <c r="Y59" s="159">
        <f>Y60*Y36</f>
        <v>99.298749999999984</v>
      </c>
      <c r="Z59" s="159">
        <f>Z60*Z36</f>
        <v>112.85874999999999</v>
      </c>
      <c r="AA59" s="159">
        <f>Master!I186-W59-Y59-Z59</f>
        <v>114.52862156845566</v>
      </c>
      <c r="AB59" s="159"/>
      <c r="AC59" s="159"/>
      <c r="AD59" s="159"/>
      <c r="AE59" s="159"/>
      <c r="AF59" s="159"/>
      <c r="AG59" s="306"/>
      <c r="AH59" s="306"/>
      <c r="AI59" s="306"/>
      <c r="AJ59" s="159"/>
    </row>
    <row r="60" spans="2:56" x14ac:dyDescent="0.5">
      <c r="B60" s="158" t="s">
        <v>251</v>
      </c>
      <c r="C60" s="159"/>
      <c r="D60" s="159"/>
      <c r="E60" s="159"/>
      <c r="F60" s="159"/>
      <c r="G60" s="147">
        <f>G59/G36</f>
        <v>0.38769848297030873</v>
      </c>
      <c r="H60" s="159"/>
      <c r="I60" s="159"/>
      <c r="J60" s="159"/>
      <c r="K60" s="161">
        <f t="shared" ref="K60:W60" si="42">K59/K36</f>
        <v>0.41449674186764973</v>
      </c>
      <c r="L60" s="161">
        <f t="shared" si="42"/>
        <v>0.41456759026028556</v>
      </c>
      <c r="M60" s="161">
        <f t="shared" si="42"/>
        <v>0.48405840734607841</v>
      </c>
      <c r="N60" s="161">
        <f t="shared" si="42"/>
        <v>0.48132791327913271</v>
      </c>
      <c r="O60" s="161">
        <f t="shared" si="42"/>
        <v>0.48809818554804935</v>
      </c>
      <c r="P60" s="161">
        <f t="shared" si="42"/>
        <v>0.50765619991935396</v>
      </c>
      <c r="Q60" s="161">
        <f t="shared" si="42"/>
        <v>0.56792964576312976</v>
      </c>
      <c r="R60" s="161">
        <f t="shared" si="42"/>
        <v>0.539919642857143</v>
      </c>
      <c r="S60" s="161">
        <f t="shared" si="42"/>
        <v>0.53134962805526043</v>
      </c>
      <c r="T60" s="161">
        <f t="shared" si="42"/>
        <v>0.54443716287745114</v>
      </c>
      <c r="U60" s="161">
        <f t="shared" si="42"/>
        <v>0.52676233204214096</v>
      </c>
      <c r="V60" s="161">
        <f t="shared" si="42"/>
        <v>0.60666395882619273</v>
      </c>
      <c r="W60" s="161">
        <f t="shared" si="42"/>
        <v>0.63579032737624297</v>
      </c>
      <c r="X60" s="161"/>
      <c r="Y60" s="162">
        <v>0.56499999999999995</v>
      </c>
      <c r="Z60" s="162">
        <v>0.56499999999999995</v>
      </c>
      <c r="AA60" s="161">
        <f>AA59/AA36</f>
        <v>0.50796693784620772</v>
      </c>
      <c r="AB60" s="161"/>
      <c r="AC60" s="161"/>
      <c r="AD60" s="161"/>
      <c r="AE60" s="161"/>
      <c r="AF60" s="161"/>
      <c r="AG60" s="315"/>
      <c r="AH60" s="315"/>
      <c r="AI60" s="315"/>
    </row>
    <row r="61" spans="2:56" x14ac:dyDescent="0.5">
      <c r="B61" s="158" t="s">
        <v>250</v>
      </c>
      <c r="C61" s="159"/>
      <c r="D61" s="159"/>
      <c r="E61" s="159"/>
      <c r="F61" s="159"/>
      <c r="G61" s="159">
        <f>G55-G59</f>
        <v>0.42500000000000071</v>
      </c>
      <c r="H61" s="159"/>
      <c r="I61" s="159"/>
      <c r="J61" s="159"/>
      <c r="K61" s="159">
        <f>K55-K59</f>
        <v>1.0230000000000015</v>
      </c>
      <c r="L61" s="160">
        <v>1.5</v>
      </c>
      <c r="M61" s="160">
        <v>2</v>
      </c>
      <c r="N61" s="159">
        <f>Master!F189-K61-L61-M61</f>
        <v>1.878000000000009</v>
      </c>
      <c r="O61" s="160">
        <v>2.5</v>
      </c>
      <c r="P61" s="160">
        <v>2.5</v>
      </c>
      <c r="Q61" s="159">
        <f>Q55-Q59</f>
        <v>2.7480000000000047</v>
      </c>
      <c r="R61" s="159">
        <f>Master!G189-O61-P61-Q61</f>
        <v>2.8289999999999935</v>
      </c>
      <c r="S61" s="160">
        <v>3.5</v>
      </c>
      <c r="T61" s="160">
        <v>4</v>
      </c>
      <c r="U61" s="159">
        <f>U55-U59</f>
        <v>4.3520000000000039</v>
      </c>
      <c r="V61" s="159">
        <f>V55-V59</f>
        <v>5.7491185682326602</v>
      </c>
      <c r="W61" s="159">
        <f>W55-W59</f>
        <v>5.9097628635346666</v>
      </c>
      <c r="X61" s="159"/>
      <c r="Y61" s="160">
        <v>6</v>
      </c>
      <c r="Z61" s="160">
        <v>6.5</v>
      </c>
      <c r="AA61" s="159">
        <f>Master!I189-W61-Y61-Z61</f>
        <v>6.5902371364653334</v>
      </c>
      <c r="AB61" s="159"/>
      <c r="AC61" s="159"/>
      <c r="AD61" s="159"/>
      <c r="AE61" s="159"/>
      <c r="AF61" s="159"/>
      <c r="AG61" s="306"/>
      <c r="AH61" s="306"/>
      <c r="AI61" s="306"/>
    </row>
    <row r="62" spans="2:56" x14ac:dyDescent="0.5">
      <c r="B62" s="158"/>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306"/>
      <c r="AH62" s="306"/>
      <c r="AI62" s="306"/>
    </row>
    <row r="63" spans="2:56" ht="14.4" thickBot="1" x14ac:dyDescent="0.55000000000000004">
      <c r="B63" s="164" t="s">
        <v>117</v>
      </c>
      <c r="C63" s="156">
        <f t="shared" ref="C63:AA63" si="43">C35-C59</f>
        <v>3.777503932503933</v>
      </c>
      <c r="D63" s="156">
        <f t="shared" si="43"/>
        <v>9.7390015730015733</v>
      </c>
      <c r="E63" s="156">
        <f t="shared" si="43"/>
        <v>11.155372372372373</v>
      </c>
      <c r="F63" s="156">
        <f t="shared" si="43"/>
        <v>12.383948376948378</v>
      </c>
      <c r="G63" s="156">
        <f t="shared" si="43"/>
        <v>11.427000000000001</v>
      </c>
      <c r="H63" s="156">
        <f t="shared" si="43"/>
        <v>12.072285184531168</v>
      </c>
      <c r="I63" s="156">
        <f t="shared" si="43"/>
        <v>17.72214939078227</v>
      </c>
      <c r="J63" s="156">
        <f t="shared" si="43"/>
        <v>21.513871975984461</v>
      </c>
      <c r="K63" s="156">
        <f t="shared" si="43"/>
        <v>24.29</v>
      </c>
      <c r="L63" s="156">
        <f t="shared" si="43"/>
        <v>35.299999999999997</v>
      </c>
      <c r="M63" s="156">
        <f t="shared" si="43"/>
        <v>36.444000000000003</v>
      </c>
      <c r="N63" s="156">
        <f t="shared" si="43"/>
        <v>40.778000000000006</v>
      </c>
      <c r="O63" s="156">
        <f t="shared" si="43"/>
        <v>46.1</v>
      </c>
      <c r="P63" s="156">
        <f t="shared" si="43"/>
        <v>52.1</v>
      </c>
      <c r="Q63" s="156">
        <f t="shared" si="43"/>
        <v>56.620000000000005</v>
      </c>
      <c r="R63" s="156">
        <f t="shared" si="43"/>
        <v>57.928999999999995</v>
      </c>
      <c r="S63" s="156">
        <f t="shared" si="43"/>
        <v>65.300000000000011</v>
      </c>
      <c r="T63" s="156">
        <f t="shared" si="43"/>
        <v>74.700000000000017</v>
      </c>
      <c r="U63" s="156">
        <f t="shared" si="43"/>
        <v>78.852000000000004</v>
      </c>
      <c r="V63" s="156">
        <f t="shared" si="43"/>
        <v>75.649118568232666</v>
      </c>
      <c r="W63" s="156">
        <f t="shared" si="43"/>
        <v>68.909762863534667</v>
      </c>
      <c r="X63" s="156"/>
      <c r="Y63" s="156">
        <f t="shared" si="43"/>
        <v>79.701250000000016</v>
      </c>
      <c r="Z63" s="156">
        <f t="shared" si="43"/>
        <v>90.141250000000014</v>
      </c>
      <c r="AA63" s="156">
        <f t="shared" si="43"/>
        <v>113.90509326044179</v>
      </c>
      <c r="AB63" s="156"/>
      <c r="AC63" s="156"/>
      <c r="AD63" s="156"/>
      <c r="AE63" s="156"/>
      <c r="AF63" s="156"/>
      <c r="AG63" s="305"/>
      <c r="AH63" s="305"/>
      <c r="AI63" s="305"/>
      <c r="AK63" s="147">
        <f t="shared" ref="AK63:BA63" si="44">G63/C63-1</f>
        <v>2.0250133961940233</v>
      </c>
      <c r="AL63" s="147">
        <f t="shared" si="44"/>
        <v>0.23958139795335032</v>
      </c>
      <c r="AM63" s="147">
        <f t="shared" si="44"/>
        <v>0.58866497676700735</v>
      </c>
      <c r="AN63" s="147">
        <f t="shared" si="44"/>
        <v>0.73723850593810814</v>
      </c>
      <c r="AO63" s="147">
        <f t="shared" si="44"/>
        <v>1.1256672792508966</v>
      </c>
      <c r="AP63" s="147">
        <f t="shared" si="44"/>
        <v>1.9240528582965948</v>
      </c>
      <c r="AQ63" s="147">
        <f t="shared" si="44"/>
        <v>1.0564097049625047</v>
      </c>
      <c r="AR63" s="147">
        <f t="shared" si="44"/>
        <v>0.89542821699040198</v>
      </c>
      <c r="AS63" s="147">
        <f t="shared" si="44"/>
        <v>0.89790037052284899</v>
      </c>
      <c r="AT63" s="147">
        <f t="shared" si="44"/>
        <v>0.47592067988668574</v>
      </c>
      <c r="AU63" s="147">
        <f t="shared" si="44"/>
        <v>0.55361650751838432</v>
      </c>
      <c r="AV63" s="147">
        <f t="shared" si="44"/>
        <v>0.42059443817744824</v>
      </c>
      <c r="AW63" s="147">
        <f t="shared" si="44"/>
        <v>0.41648590021691989</v>
      </c>
      <c r="AX63" s="147">
        <f t="shared" si="44"/>
        <v>0.43378119001919413</v>
      </c>
      <c r="AY63" s="147">
        <f t="shared" si="44"/>
        <v>0.3926527728717768</v>
      </c>
      <c r="AZ63" s="147">
        <f t="shared" si="44"/>
        <v>0.30589374179137696</v>
      </c>
      <c r="BA63" s="147">
        <f t="shared" si="44"/>
        <v>5.5279676317529169E-2</v>
      </c>
      <c r="BB63" s="147">
        <f>Y63/T63-1</f>
        <v>6.6951137884872836E-2</v>
      </c>
      <c r="BC63" s="147">
        <f>Z63/U63-1</f>
        <v>0.14317011616699649</v>
      </c>
      <c r="BD63" s="147">
        <f>AA63/V63-1</f>
        <v>0.50570284778273611</v>
      </c>
    </row>
    <row r="64" spans="2:56" ht="14.4" thickTop="1" x14ac:dyDescent="0.5">
      <c r="B64" s="158" t="s">
        <v>59</v>
      </c>
      <c r="C64" s="159"/>
      <c r="D64" s="159"/>
      <c r="E64" s="159"/>
      <c r="F64" s="159"/>
      <c r="AG64" s="316"/>
      <c r="AH64" s="316"/>
      <c r="AI64" s="316"/>
    </row>
    <row r="65" spans="2:60" x14ac:dyDescent="0.5">
      <c r="B65" s="158" t="s">
        <v>591</v>
      </c>
      <c r="C65" s="159"/>
      <c r="D65" s="159"/>
      <c r="E65" s="159"/>
      <c r="F65" s="159"/>
      <c r="G65" s="169">
        <f t="shared" ref="G65:AA65" si="45">G63/G3</f>
        <v>2.9435857805255029E-2</v>
      </c>
      <c r="H65" s="169">
        <f t="shared" si="45"/>
        <v>3.4690474668193014E-2</v>
      </c>
      <c r="I65" s="169">
        <f t="shared" si="45"/>
        <v>3.0982778655213761E-2</v>
      </c>
      <c r="J65" s="169">
        <f t="shared" si="45"/>
        <v>2.8465033045758748E-2</v>
      </c>
      <c r="K65" s="169">
        <f t="shared" si="45"/>
        <v>2.6233934550167405E-2</v>
      </c>
      <c r="L65" s="169">
        <f t="shared" si="45"/>
        <v>2.4244505494505492E-2</v>
      </c>
      <c r="M65" s="169">
        <f t="shared" si="45"/>
        <v>2.0112582781456955E-2</v>
      </c>
      <c r="N65" s="169">
        <f t="shared" si="45"/>
        <v>2.1970905172413797E-2</v>
      </c>
      <c r="O65" s="169">
        <f t="shared" si="45"/>
        <v>2.1910646387832699E-2</v>
      </c>
      <c r="P65" s="169">
        <f t="shared" si="45"/>
        <v>2.1413892314015619E-2</v>
      </c>
      <c r="Q65" s="169">
        <f t="shared" si="45"/>
        <v>2.070958302852963E-2</v>
      </c>
      <c r="R65" s="169">
        <f t="shared" si="45"/>
        <v>1.7575546116504852E-2</v>
      </c>
      <c r="S65" s="169">
        <f t="shared" si="45"/>
        <v>1.8270844991606045E-2</v>
      </c>
      <c r="T65" s="169">
        <f t="shared" si="45"/>
        <v>1.7082094671849991E-2</v>
      </c>
      <c r="U65" s="169">
        <f t="shared" si="45"/>
        <v>1.7074924209614553E-2</v>
      </c>
      <c r="V65" s="169">
        <f t="shared" si="45"/>
        <v>1.480123626848614E-2</v>
      </c>
      <c r="W65" s="169">
        <f t="shared" si="45"/>
        <v>1.2977356471475455E-2</v>
      </c>
      <c r="X65" s="169"/>
      <c r="Y65" s="169">
        <f t="shared" si="45"/>
        <v>1.3741594827586209E-2</v>
      </c>
      <c r="Z65" s="169">
        <f t="shared" si="45"/>
        <v>1.325606617647059E-2</v>
      </c>
      <c r="AA65" s="169">
        <f t="shared" si="45"/>
        <v>1.4297207771951042E-2</v>
      </c>
      <c r="AB65" s="169"/>
      <c r="AC65" s="169"/>
      <c r="AD65" s="169"/>
      <c r="AE65" s="169"/>
      <c r="AF65" s="169"/>
      <c r="AG65" s="311"/>
      <c r="AH65" s="311"/>
      <c r="AI65" s="311"/>
    </row>
    <row r="66" spans="2:60" x14ac:dyDescent="0.5">
      <c r="B66" s="158"/>
      <c r="C66" s="159"/>
      <c r="D66" s="159"/>
      <c r="E66" s="159"/>
      <c r="F66" s="159"/>
      <c r="G66" s="159"/>
      <c r="H66" s="159"/>
      <c r="I66" s="159"/>
      <c r="J66" s="159"/>
      <c r="K66" s="159"/>
      <c r="L66" s="159"/>
      <c r="M66" s="159"/>
      <c r="N66" s="159"/>
      <c r="O66" s="159"/>
      <c r="P66" s="159"/>
      <c r="Q66" s="159"/>
      <c r="R66" s="159"/>
      <c r="S66" s="159"/>
      <c r="T66" s="159"/>
      <c r="U66" s="159"/>
      <c r="V66" s="159"/>
      <c r="W66" s="147"/>
      <c r="X66" s="147"/>
      <c r="Y66" s="159"/>
      <c r="Z66" s="159"/>
      <c r="AA66" s="159"/>
      <c r="AB66" s="159"/>
      <c r="AC66" s="159"/>
      <c r="AD66" s="159"/>
      <c r="AE66" s="159"/>
      <c r="AF66" s="159"/>
      <c r="AG66" s="306"/>
      <c r="AH66" s="306"/>
      <c r="AI66" s="306"/>
    </row>
    <row r="67" spans="2:60" x14ac:dyDescent="0.5">
      <c r="B67" s="154" t="s">
        <v>2009</v>
      </c>
      <c r="C67" s="159"/>
      <c r="D67" s="159"/>
      <c r="E67" s="159"/>
      <c r="F67" s="159"/>
      <c r="G67" s="159"/>
      <c r="H67" s="159"/>
      <c r="I67" s="159"/>
      <c r="J67" s="159"/>
      <c r="K67" s="159"/>
      <c r="L67" s="159"/>
      <c r="M67" s="159"/>
      <c r="N67" s="159"/>
      <c r="O67" s="159"/>
      <c r="P67" s="159"/>
      <c r="Q67" s="159"/>
      <c r="R67" s="159"/>
      <c r="Z67" s="159"/>
      <c r="AA67" s="159"/>
      <c r="AB67" s="159"/>
      <c r="AC67" s="159"/>
      <c r="AD67" s="159"/>
      <c r="AE67" s="159"/>
      <c r="AF67" s="159"/>
      <c r="AG67" s="306"/>
      <c r="AH67" s="306"/>
      <c r="AI67" s="306"/>
    </row>
    <row r="68" spans="2:60" x14ac:dyDescent="0.5">
      <c r="B68" s="158" t="str">
        <f t="shared" ref="B68:B73" si="46">B24</f>
        <v>Brazil</v>
      </c>
      <c r="C68" s="159"/>
      <c r="D68" s="159"/>
      <c r="E68" s="159"/>
      <c r="F68" s="159"/>
      <c r="G68" s="159"/>
      <c r="H68" s="159"/>
      <c r="I68" s="159"/>
      <c r="J68" s="159"/>
      <c r="K68" s="159"/>
      <c r="L68" s="159"/>
      <c r="M68" s="159"/>
      <c r="N68" s="159"/>
      <c r="O68" s="159"/>
      <c r="P68" s="159"/>
      <c r="Q68" s="159"/>
      <c r="R68" s="159"/>
      <c r="S68" s="159">
        <v>11</v>
      </c>
      <c r="T68" s="159">
        <v>19.600000000000001</v>
      </c>
      <c r="U68" s="159">
        <v>22.7</v>
      </c>
      <c r="V68" s="159">
        <v>25.5</v>
      </c>
      <c r="W68" s="159">
        <v>17.899999999999999</v>
      </c>
      <c r="X68" s="159"/>
      <c r="Y68" s="159">
        <f t="shared" ref="Y68:Z72" si="47">Y82*Y24</f>
        <v>21</v>
      </c>
      <c r="Z68" s="159">
        <f t="shared" si="47"/>
        <v>25.619999999999997</v>
      </c>
      <c r="AA68" s="159">
        <f>AH68-W68-Y68-Z68</f>
        <v>31.019380228136903</v>
      </c>
      <c r="AB68" s="159">
        <f t="shared" ref="AB68:AD72" si="48">AB82*AB24</f>
        <v>27.47</v>
      </c>
      <c r="AC68" s="159">
        <f t="shared" si="48"/>
        <v>31.24</v>
      </c>
      <c r="AD68" s="159">
        <f t="shared" si="48"/>
        <v>32.119999999999997</v>
      </c>
      <c r="AE68" s="159">
        <f>AI68-AB68-AC68-AD68</f>
        <v>40.786870000000015</v>
      </c>
      <c r="AF68" s="159"/>
      <c r="AG68" s="306">
        <f>Master!H104</f>
        <v>78.8</v>
      </c>
      <c r="AH68" s="306">
        <f>Master!I104</f>
        <v>95.539380228136892</v>
      </c>
      <c r="AI68" s="306">
        <f>Master!J104</f>
        <v>131.61687000000001</v>
      </c>
      <c r="AK68" s="146">
        <f t="shared" ref="AK68:AK73" si="49">AH68/Y68</f>
        <v>4.5494942965779472</v>
      </c>
    </row>
    <row r="69" spans="2:60" x14ac:dyDescent="0.5">
      <c r="B69" s="158" t="str">
        <f t="shared" si="46"/>
        <v>Argentina</v>
      </c>
      <c r="C69" s="159"/>
      <c r="D69" s="159"/>
      <c r="E69" s="159"/>
      <c r="F69" s="159"/>
      <c r="G69" s="159"/>
      <c r="H69" s="159"/>
      <c r="I69" s="159"/>
      <c r="J69" s="159"/>
      <c r="K69" s="159"/>
      <c r="L69" s="159"/>
      <c r="M69" s="159"/>
      <c r="N69" s="159"/>
      <c r="O69" s="159"/>
      <c r="P69" s="159"/>
      <c r="Q69" s="159"/>
      <c r="R69" s="159"/>
      <c r="S69" s="159">
        <v>17.8</v>
      </c>
      <c r="T69" s="159">
        <v>13.8</v>
      </c>
      <c r="U69" s="159">
        <v>13.1</v>
      </c>
      <c r="V69" s="159">
        <v>4</v>
      </c>
      <c r="W69" s="159">
        <v>5.2</v>
      </c>
      <c r="X69" s="159"/>
      <c r="Y69" s="159">
        <f t="shared" si="47"/>
        <v>6.4</v>
      </c>
      <c r="Z69" s="159">
        <f t="shared" si="47"/>
        <v>6.97</v>
      </c>
      <c r="AA69" s="159">
        <f t="shared" ref="AA69:AA72" si="50">AH69-W69-Y69-Z69</f>
        <v>7.030000000000002</v>
      </c>
      <c r="AB69" s="159">
        <f t="shared" si="48"/>
        <v>7.0200000000000005</v>
      </c>
      <c r="AC69" s="159">
        <f t="shared" si="48"/>
        <v>7.41</v>
      </c>
      <c r="AD69" s="159">
        <f t="shared" si="48"/>
        <v>7.41</v>
      </c>
      <c r="AE69" s="159">
        <f t="shared" ref="AE69:AE73" si="51">AI69-AB69-AC69-AD69</f>
        <v>7.6128</v>
      </c>
      <c r="AF69" s="159"/>
      <c r="AG69" s="306">
        <f>Master!H114</f>
        <v>48.7</v>
      </c>
      <c r="AH69" s="306">
        <f>Master!I114</f>
        <v>25.6</v>
      </c>
      <c r="AI69" s="306">
        <f>Master!J114</f>
        <v>29.4528</v>
      </c>
      <c r="AK69" s="146">
        <f t="shared" si="49"/>
        <v>4</v>
      </c>
    </row>
    <row r="70" spans="2:60" x14ac:dyDescent="0.5">
      <c r="B70" s="158" t="str">
        <f t="shared" si="46"/>
        <v>Mexico</v>
      </c>
      <c r="C70" s="159"/>
      <c r="D70" s="159"/>
      <c r="E70" s="159"/>
      <c r="F70" s="159"/>
      <c r="G70" s="159"/>
      <c r="H70" s="159"/>
      <c r="I70" s="159"/>
      <c r="J70" s="159"/>
      <c r="K70" s="159"/>
      <c r="L70" s="159"/>
      <c r="M70" s="159"/>
      <c r="N70" s="159"/>
      <c r="O70" s="159"/>
      <c r="P70" s="159"/>
      <c r="Q70" s="159"/>
      <c r="R70" s="159"/>
      <c r="S70" s="159">
        <v>6.9</v>
      </c>
      <c r="T70" s="159">
        <v>10.6</v>
      </c>
      <c r="U70" s="159">
        <v>7.9</v>
      </c>
      <c r="V70" s="159">
        <v>9.3000000000000007</v>
      </c>
      <c r="W70" s="159">
        <v>9.9</v>
      </c>
      <c r="X70" s="159"/>
      <c r="Y70" s="159">
        <f t="shared" si="47"/>
        <v>12.58</v>
      </c>
      <c r="Z70" s="159">
        <f t="shared" si="47"/>
        <v>13.600000000000001</v>
      </c>
      <c r="AA70" s="159">
        <f t="shared" si="50"/>
        <v>15.183520000000009</v>
      </c>
      <c r="AB70" s="159">
        <f t="shared" si="48"/>
        <v>13.95</v>
      </c>
      <c r="AC70" s="159">
        <f t="shared" si="48"/>
        <v>16.66</v>
      </c>
      <c r="AD70" s="159">
        <f t="shared" si="48"/>
        <v>18.700000000000003</v>
      </c>
      <c r="AE70" s="159">
        <f t="shared" si="51"/>
        <v>21.992896000000016</v>
      </c>
      <c r="AF70" s="159"/>
      <c r="AG70" s="306">
        <f>Master!H119</f>
        <v>34.700000000000003</v>
      </c>
      <c r="AH70" s="306">
        <f>Master!I119</f>
        <v>51.263520000000007</v>
      </c>
      <c r="AI70" s="306">
        <f>Master!J119</f>
        <v>71.302896000000018</v>
      </c>
      <c r="AK70" s="146">
        <f t="shared" si="49"/>
        <v>4.0750015898251197</v>
      </c>
    </row>
    <row r="71" spans="2:60" x14ac:dyDescent="0.5">
      <c r="B71" s="158" t="str">
        <f t="shared" si="46"/>
        <v>Chile</v>
      </c>
      <c r="C71" s="159"/>
      <c r="D71" s="159"/>
      <c r="E71" s="159"/>
      <c r="F71" s="159"/>
      <c r="G71" s="159"/>
      <c r="H71" s="159"/>
      <c r="I71" s="159"/>
      <c r="J71" s="159"/>
      <c r="K71" s="159"/>
      <c r="L71" s="159"/>
      <c r="M71" s="159"/>
      <c r="N71" s="159"/>
      <c r="O71" s="159"/>
      <c r="P71" s="159"/>
      <c r="Q71" s="159"/>
      <c r="R71" s="159"/>
      <c r="S71" s="159">
        <v>9.1</v>
      </c>
      <c r="T71" s="159">
        <v>8.9</v>
      </c>
      <c r="U71" s="159">
        <v>6.9</v>
      </c>
      <c r="V71" s="159">
        <v>9.1</v>
      </c>
      <c r="W71" s="159">
        <v>7.5</v>
      </c>
      <c r="X71" s="159"/>
      <c r="Y71" s="159">
        <f t="shared" si="47"/>
        <v>8.4</v>
      </c>
      <c r="Z71" s="159">
        <f t="shared" si="47"/>
        <v>9.6</v>
      </c>
      <c r="AA71" s="159">
        <f t="shared" si="50"/>
        <v>9.9</v>
      </c>
      <c r="AB71" s="159">
        <f t="shared" si="48"/>
        <v>9.3500000000000014</v>
      </c>
      <c r="AC71" s="159">
        <f t="shared" si="48"/>
        <v>9.9</v>
      </c>
      <c r="AD71" s="159">
        <f t="shared" si="48"/>
        <v>9.9</v>
      </c>
      <c r="AE71" s="159">
        <f t="shared" si="51"/>
        <v>11.4125</v>
      </c>
      <c r="AF71" s="159"/>
      <c r="AG71" s="306">
        <f>Master!H124</f>
        <v>34</v>
      </c>
      <c r="AH71" s="306">
        <f>Master!I124</f>
        <v>35.4</v>
      </c>
      <c r="AI71" s="306">
        <f>Master!J124</f>
        <v>40.5625</v>
      </c>
      <c r="AK71" s="146">
        <f t="shared" si="49"/>
        <v>4.2142857142857135</v>
      </c>
    </row>
    <row r="72" spans="2:60" x14ac:dyDescent="0.5">
      <c r="B72" s="224" t="str">
        <f t="shared" si="46"/>
        <v>Other LatAm</v>
      </c>
      <c r="C72" s="217"/>
      <c r="D72" s="217"/>
      <c r="E72" s="217"/>
      <c r="F72" s="217"/>
      <c r="G72" s="217"/>
      <c r="H72" s="217"/>
      <c r="I72" s="217"/>
      <c r="J72" s="217"/>
      <c r="K72" s="217"/>
      <c r="L72" s="217"/>
      <c r="M72" s="217"/>
      <c r="N72" s="217"/>
      <c r="O72" s="217"/>
      <c r="P72" s="217"/>
      <c r="Q72" s="217"/>
      <c r="R72" s="217"/>
      <c r="S72" s="217">
        <v>8</v>
      </c>
      <c r="T72" s="217">
        <v>8.6999999999999993</v>
      </c>
      <c r="U72" s="217">
        <v>8.9</v>
      </c>
      <c r="V72" s="217">
        <v>7</v>
      </c>
      <c r="W72" s="217">
        <v>8.1</v>
      </c>
      <c r="X72" s="217"/>
      <c r="Y72" s="217">
        <f t="shared" si="47"/>
        <v>9.36</v>
      </c>
      <c r="Z72" s="217">
        <f t="shared" si="47"/>
        <v>9.75</v>
      </c>
      <c r="AA72" s="217">
        <f t="shared" si="50"/>
        <v>11.405849999999994</v>
      </c>
      <c r="AB72" s="217">
        <f t="shared" si="48"/>
        <v>10.92</v>
      </c>
      <c r="AC72" s="217">
        <f t="shared" si="48"/>
        <v>11.700000000000001</v>
      </c>
      <c r="AD72" s="217">
        <f t="shared" si="48"/>
        <v>12.48</v>
      </c>
      <c r="AE72" s="217">
        <f t="shared" si="51"/>
        <v>13.169812499999988</v>
      </c>
      <c r="AF72" s="217"/>
      <c r="AG72" s="308">
        <f>Master!H129</f>
        <v>32.6</v>
      </c>
      <c r="AH72" s="308">
        <f>Master!I129</f>
        <v>38.615849999999995</v>
      </c>
      <c r="AI72" s="308">
        <f>Master!J129</f>
        <v>48.269812499999993</v>
      </c>
      <c r="AK72" s="146">
        <f t="shared" si="49"/>
        <v>4.1256249999999994</v>
      </c>
    </row>
    <row r="73" spans="2:60" x14ac:dyDescent="0.5">
      <c r="B73" s="158" t="str">
        <f t="shared" si="46"/>
        <v>LatAm</v>
      </c>
      <c r="C73" s="159"/>
      <c r="D73" s="159"/>
      <c r="E73" s="159"/>
      <c r="F73" s="159"/>
      <c r="G73" s="159"/>
      <c r="H73" s="159"/>
      <c r="I73" s="159"/>
      <c r="J73" s="159"/>
      <c r="K73" s="159"/>
      <c r="L73" s="159"/>
      <c r="M73" s="159"/>
      <c r="N73" s="159"/>
      <c r="O73" s="159"/>
      <c r="P73" s="159"/>
      <c r="Q73" s="159"/>
      <c r="R73" s="159"/>
      <c r="S73" s="159">
        <f>SUM(S68:S72)</f>
        <v>52.800000000000004</v>
      </c>
      <c r="T73" s="159">
        <f t="shared" ref="T73:AD73" si="52">SUM(T68:T72)</f>
        <v>61.600000000000009</v>
      </c>
      <c r="U73" s="159">
        <f t="shared" si="52"/>
        <v>59.499999999999993</v>
      </c>
      <c r="V73" s="159">
        <f t="shared" si="52"/>
        <v>54.9</v>
      </c>
      <c r="W73" s="159">
        <f t="shared" si="52"/>
        <v>48.6</v>
      </c>
      <c r="X73" s="159"/>
      <c r="Y73" s="159">
        <f t="shared" si="52"/>
        <v>57.739999999999995</v>
      </c>
      <c r="Z73" s="159">
        <f t="shared" si="52"/>
        <v>65.539999999999992</v>
      </c>
      <c r="AA73" s="159">
        <f t="shared" si="52"/>
        <v>74.538750228136905</v>
      </c>
      <c r="AB73" s="159">
        <f t="shared" si="52"/>
        <v>68.709999999999994</v>
      </c>
      <c r="AC73" s="159">
        <f t="shared" si="52"/>
        <v>76.910000000000011</v>
      </c>
      <c r="AD73" s="159">
        <f t="shared" si="52"/>
        <v>80.610000000000014</v>
      </c>
      <c r="AE73" s="159">
        <f t="shared" si="51"/>
        <v>94.974878499999988</v>
      </c>
      <c r="AF73" s="159"/>
      <c r="AG73" s="306">
        <f>SUM(AG68:AG72)</f>
        <v>228.79999999999998</v>
      </c>
      <c r="AH73" s="306">
        <f>SUM(AH68:AH72)</f>
        <v>246.4187502281369</v>
      </c>
      <c r="AI73" s="306">
        <f>SUM(AI68:AI72)</f>
        <v>321.20487850000001</v>
      </c>
      <c r="AK73" s="146">
        <f t="shared" si="49"/>
        <v>4.2677303468676291</v>
      </c>
    </row>
    <row r="74" spans="2:60" x14ac:dyDescent="0.5">
      <c r="B74" s="158"/>
      <c r="C74" s="159"/>
      <c r="D74" s="159"/>
      <c r="E74" s="159"/>
      <c r="F74" s="159"/>
      <c r="G74" s="159"/>
      <c r="H74" s="159"/>
      <c r="I74" s="159"/>
      <c r="J74" s="159"/>
      <c r="K74" s="159"/>
      <c r="L74" s="159"/>
      <c r="M74" s="159"/>
      <c r="N74" s="159"/>
      <c r="O74" s="159"/>
      <c r="P74" s="159"/>
      <c r="Q74" s="159"/>
      <c r="R74" s="159"/>
      <c r="S74" s="159"/>
      <c r="T74" s="159"/>
      <c r="U74" s="159"/>
      <c r="V74" s="159"/>
      <c r="W74" s="147"/>
      <c r="X74" s="147"/>
      <c r="Y74" s="159"/>
      <c r="Z74" s="159"/>
      <c r="AA74" s="159"/>
      <c r="AB74" s="159"/>
      <c r="AC74" s="159"/>
      <c r="AD74" s="159"/>
      <c r="AE74" s="159"/>
      <c r="AF74" s="159"/>
      <c r="AG74" s="306"/>
      <c r="AH74" s="306"/>
      <c r="AI74" s="306"/>
    </row>
    <row r="75" spans="2:60" x14ac:dyDescent="0.5">
      <c r="B75" s="158" t="str">
        <f>B31</f>
        <v>Nigeria</v>
      </c>
      <c r="C75" s="159"/>
      <c r="D75" s="159"/>
      <c r="E75" s="159"/>
      <c r="F75" s="159"/>
      <c r="G75" s="159"/>
      <c r="H75" s="159"/>
      <c r="I75" s="159"/>
      <c r="J75" s="159"/>
      <c r="K75" s="159"/>
      <c r="L75" s="159"/>
      <c r="M75" s="159"/>
      <c r="N75" s="159"/>
      <c r="O75" s="159"/>
      <c r="P75" s="159"/>
      <c r="Q75" s="159"/>
      <c r="R75" s="159"/>
      <c r="S75" s="159">
        <v>2.4</v>
      </c>
      <c r="T75" s="159">
        <v>0.2</v>
      </c>
      <c r="U75" s="159">
        <v>1.7</v>
      </c>
      <c r="V75" s="159">
        <v>1.5</v>
      </c>
      <c r="W75" s="159">
        <v>0.5</v>
      </c>
      <c r="X75" s="159"/>
      <c r="Y75" s="159">
        <f t="shared" ref="Y75:Z77" si="53">Y89*Y31</f>
        <v>0.72</v>
      </c>
      <c r="Z75" s="159">
        <f t="shared" si="53"/>
        <v>1.08</v>
      </c>
      <c r="AA75" s="159">
        <f>AH75-W75-Y75-Z75</f>
        <v>1.5699999999999994</v>
      </c>
      <c r="AB75" s="159">
        <f t="shared" ref="AB75:AD77" si="54">AB89*AB31</f>
        <v>2.25</v>
      </c>
      <c r="AC75" s="159">
        <f t="shared" si="54"/>
        <v>2.72</v>
      </c>
      <c r="AD75" s="159">
        <f t="shared" si="54"/>
        <v>3.06</v>
      </c>
      <c r="AE75" s="159">
        <f t="shared" ref="AE75:AE78" si="55">AI75-AB75-AC75-AD75</f>
        <v>3.3005000000000018</v>
      </c>
      <c r="AF75" s="159"/>
      <c r="AG75" s="306">
        <f>Master!H138</f>
        <v>5.8</v>
      </c>
      <c r="AH75" s="306">
        <f>Master!I138</f>
        <v>3.8699999999999997</v>
      </c>
      <c r="AI75" s="306">
        <f>Master!J138</f>
        <v>11.330500000000002</v>
      </c>
      <c r="AK75" s="146">
        <f>AH75/Y75</f>
        <v>5.375</v>
      </c>
    </row>
    <row r="76" spans="2:60" x14ac:dyDescent="0.5">
      <c r="B76" s="158" t="str">
        <f>B32</f>
        <v>Egypt</v>
      </c>
      <c r="C76" s="159"/>
      <c r="D76" s="159"/>
      <c r="E76" s="159"/>
      <c r="F76" s="159"/>
      <c r="G76" s="159"/>
      <c r="H76" s="159"/>
      <c r="I76" s="159"/>
      <c r="J76" s="159"/>
      <c r="K76" s="159"/>
      <c r="L76" s="159"/>
      <c r="M76" s="159"/>
      <c r="N76" s="159"/>
      <c r="O76" s="159"/>
      <c r="P76" s="159"/>
      <c r="Q76" s="159"/>
      <c r="R76" s="159"/>
      <c r="S76" s="159">
        <v>2.7</v>
      </c>
      <c r="T76" s="159">
        <v>4.2</v>
      </c>
      <c r="U76" s="159">
        <v>9.6</v>
      </c>
      <c r="V76" s="159">
        <v>9.6</v>
      </c>
      <c r="W76" s="159">
        <v>10.3</v>
      </c>
      <c r="X76" s="159"/>
      <c r="Y76" s="159">
        <f t="shared" si="53"/>
        <v>2.6999999999999997</v>
      </c>
      <c r="Z76" s="159">
        <f t="shared" si="53"/>
        <v>2.88</v>
      </c>
      <c r="AA76" s="159">
        <f>AH76-W76-Y76-Z76</f>
        <v>2.8199999999999994</v>
      </c>
      <c r="AB76" s="159">
        <f t="shared" si="54"/>
        <v>4.8</v>
      </c>
      <c r="AC76" s="159">
        <f t="shared" si="54"/>
        <v>5.0999999999999996</v>
      </c>
      <c r="AD76" s="159">
        <f t="shared" si="54"/>
        <v>5.3999999999999995</v>
      </c>
      <c r="AE76" s="159">
        <f t="shared" si="55"/>
        <v>5.7</v>
      </c>
      <c r="AF76" s="159"/>
      <c r="AG76" s="306">
        <f>Master!H143</f>
        <v>26.1</v>
      </c>
      <c r="AH76" s="306">
        <f>Master!I143</f>
        <v>18.7</v>
      </c>
      <c r="AI76" s="306">
        <f>Master!J143</f>
        <v>21</v>
      </c>
      <c r="AK76" s="146">
        <f>AH76/Y76</f>
        <v>6.9259259259259265</v>
      </c>
    </row>
    <row r="77" spans="2:60" x14ac:dyDescent="0.5">
      <c r="B77" s="224" t="str">
        <f>B33</f>
        <v>Other</v>
      </c>
      <c r="C77" s="217"/>
      <c r="D77" s="217"/>
      <c r="E77" s="217"/>
      <c r="F77" s="217"/>
      <c r="G77" s="217"/>
      <c r="H77" s="217"/>
      <c r="I77" s="217"/>
      <c r="J77" s="217"/>
      <c r="K77" s="217"/>
      <c r="L77" s="217"/>
      <c r="M77" s="217"/>
      <c r="N77" s="217"/>
      <c r="O77" s="217"/>
      <c r="P77" s="217"/>
      <c r="Q77" s="217"/>
      <c r="R77" s="217"/>
      <c r="S77" s="217">
        <v>3.9</v>
      </c>
      <c r="T77" s="217">
        <v>4.7</v>
      </c>
      <c r="U77" s="217">
        <v>3.7</v>
      </c>
      <c r="V77" s="217">
        <v>3.9</v>
      </c>
      <c r="W77" s="217">
        <v>3.6</v>
      </c>
      <c r="X77" s="217"/>
      <c r="Y77" s="217">
        <f t="shared" si="53"/>
        <v>4.2</v>
      </c>
      <c r="Z77" s="217">
        <f t="shared" si="53"/>
        <v>4.8</v>
      </c>
      <c r="AA77" s="217">
        <f>AH77-W77-Y77-Z77</f>
        <v>5.9999999999999973</v>
      </c>
      <c r="AB77" s="217">
        <f t="shared" si="54"/>
        <v>5.0999999999999996</v>
      </c>
      <c r="AC77" s="217">
        <f t="shared" si="54"/>
        <v>5.3999999999999995</v>
      </c>
      <c r="AD77" s="217">
        <f t="shared" si="54"/>
        <v>5.7</v>
      </c>
      <c r="AE77" s="217">
        <f t="shared" si="55"/>
        <v>7.9800000000000066</v>
      </c>
      <c r="AF77" s="217"/>
      <c r="AG77" s="308">
        <f>Master!H148</f>
        <v>16.2</v>
      </c>
      <c r="AH77" s="308">
        <f>Master!I148</f>
        <v>18.599999999999998</v>
      </c>
      <c r="AI77" s="308">
        <f>Master!J148</f>
        <v>24.180000000000003</v>
      </c>
      <c r="AK77" s="146">
        <f>AH77/Y77</f>
        <v>4.4285714285714279</v>
      </c>
    </row>
    <row r="78" spans="2:60" x14ac:dyDescent="0.5">
      <c r="B78" s="158" t="str">
        <f>B34</f>
        <v>Africa / Asia</v>
      </c>
      <c r="C78" s="159"/>
      <c r="D78" s="159"/>
      <c r="E78" s="159"/>
      <c r="F78" s="159"/>
      <c r="G78" s="159"/>
      <c r="H78" s="159"/>
      <c r="I78" s="159"/>
      <c r="J78" s="159"/>
      <c r="K78" s="159"/>
      <c r="L78" s="159"/>
      <c r="M78" s="159"/>
      <c r="N78" s="159"/>
      <c r="O78" s="159"/>
      <c r="P78" s="159"/>
      <c r="Q78" s="159"/>
      <c r="R78" s="159"/>
      <c r="S78" s="159">
        <f>SUM(S75:S77)</f>
        <v>9</v>
      </c>
      <c r="T78" s="159">
        <f t="shared" ref="T78:AD78" si="56">SUM(T75:T77)</f>
        <v>9.1000000000000014</v>
      </c>
      <c r="U78" s="159">
        <f t="shared" si="56"/>
        <v>15</v>
      </c>
      <c r="V78" s="159">
        <f t="shared" si="56"/>
        <v>15</v>
      </c>
      <c r="W78" s="159">
        <f t="shared" si="56"/>
        <v>14.4</v>
      </c>
      <c r="X78" s="159"/>
      <c r="Y78" s="159">
        <f t="shared" si="56"/>
        <v>7.62</v>
      </c>
      <c r="Z78" s="159">
        <f t="shared" si="56"/>
        <v>8.76</v>
      </c>
      <c r="AA78" s="159">
        <f t="shared" si="56"/>
        <v>10.389999999999997</v>
      </c>
      <c r="AB78" s="159">
        <f t="shared" si="56"/>
        <v>12.149999999999999</v>
      </c>
      <c r="AC78" s="159">
        <f t="shared" si="56"/>
        <v>13.219999999999999</v>
      </c>
      <c r="AD78" s="159">
        <f t="shared" si="56"/>
        <v>14.16</v>
      </c>
      <c r="AE78" s="159">
        <f t="shared" si="55"/>
        <v>16.98050000000001</v>
      </c>
      <c r="AF78" s="159"/>
      <c r="AG78" s="306">
        <f>SUM(AG75:AG77)</f>
        <v>48.1</v>
      </c>
      <c r="AH78" s="306">
        <f>SUM(AH75:AH77)</f>
        <v>41.17</v>
      </c>
      <c r="AI78" s="306">
        <f>SUM(AI75:AI77)</f>
        <v>56.510500000000008</v>
      </c>
      <c r="AK78" s="146">
        <f>AH78/Y78</f>
        <v>5.4028871391076114</v>
      </c>
    </row>
    <row r="79" spans="2:60" x14ac:dyDescent="0.5">
      <c r="B79" s="154" t="s">
        <v>105</v>
      </c>
      <c r="C79" s="157">
        <v>3.52</v>
      </c>
      <c r="D79" s="157">
        <v>9.4659999999999993</v>
      </c>
      <c r="E79" s="157">
        <v>10.858000000000001</v>
      </c>
      <c r="F79" s="157">
        <v>12.032</v>
      </c>
      <c r="G79" s="157">
        <v>11.002000000000001</v>
      </c>
      <c r="H79" s="157">
        <v>11.523</v>
      </c>
      <c r="I79" s="157">
        <v>16.881</v>
      </c>
      <c r="J79" s="157">
        <v>20.672000000000001</v>
      </c>
      <c r="K79" s="157">
        <v>23.266999999999999</v>
      </c>
      <c r="L79" s="157">
        <v>33.799999999999997</v>
      </c>
      <c r="M79" s="157">
        <v>34.444000000000003</v>
      </c>
      <c r="N79" s="157">
        <v>38.9</v>
      </c>
      <c r="O79" s="157">
        <v>43.6</v>
      </c>
      <c r="P79" s="157">
        <v>49.6</v>
      </c>
      <c r="Q79" s="157">
        <v>53.872</v>
      </c>
      <c r="R79" s="157">
        <v>55.1</v>
      </c>
      <c r="S79" s="157">
        <f>S73+S78</f>
        <v>61.800000000000004</v>
      </c>
      <c r="T79" s="157">
        <f t="shared" ref="T79:AI79" si="57">T73+T78</f>
        <v>70.700000000000017</v>
      </c>
      <c r="U79" s="157">
        <f t="shared" si="57"/>
        <v>74.5</v>
      </c>
      <c r="V79" s="157">
        <f t="shared" si="57"/>
        <v>69.900000000000006</v>
      </c>
      <c r="W79" s="157">
        <f t="shared" si="57"/>
        <v>63</v>
      </c>
      <c r="X79" s="157"/>
      <c r="Y79" s="157">
        <f t="shared" si="57"/>
        <v>65.36</v>
      </c>
      <c r="Z79" s="157">
        <f t="shared" si="57"/>
        <v>74.3</v>
      </c>
      <c r="AA79" s="157">
        <f t="shared" si="57"/>
        <v>84.928750228136906</v>
      </c>
      <c r="AB79" s="157">
        <f t="shared" si="57"/>
        <v>80.859999999999985</v>
      </c>
      <c r="AC79" s="157">
        <f t="shared" si="57"/>
        <v>90.13000000000001</v>
      </c>
      <c r="AD79" s="157">
        <f t="shared" si="57"/>
        <v>94.77000000000001</v>
      </c>
      <c r="AE79" s="157">
        <f t="shared" si="57"/>
        <v>111.95537849999999</v>
      </c>
      <c r="AF79" s="157"/>
      <c r="AG79" s="317">
        <f t="shared" si="57"/>
        <v>276.89999999999998</v>
      </c>
      <c r="AH79" s="317">
        <f t="shared" si="57"/>
        <v>287.58875022813692</v>
      </c>
      <c r="AI79" s="317">
        <f t="shared" si="57"/>
        <v>377.71537850000004</v>
      </c>
      <c r="AK79" s="147">
        <f t="shared" ref="AK79:BA79" si="58">G79/C79-1</f>
        <v>2.1255681818181822</v>
      </c>
      <c r="AL79" s="147">
        <f t="shared" si="58"/>
        <v>0.2173040354954574</v>
      </c>
      <c r="AM79" s="147">
        <f t="shared" si="58"/>
        <v>0.55470620740467846</v>
      </c>
      <c r="AN79" s="147">
        <f t="shared" si="58"/>
        <v>0.71808510638297873</v>
      </c>
      <c r="AO79" s="147">
        <f t="shared" si="58"/>
        <v>1.1147973095800761</v>
      </c>
      <c r="AP79" s="147">
        <f t="shared" si="58"/>
        <v>1.933263906968671</v>
      </c>
      <c r="AQ79" s="147">
        <f t="shared" si="58"/>
        <v>1.0404004502102957</v>
      </c>
      <c r="AR79" s="147">
        <f t="shared" si="58"/>
        <v>0.88177244582043324</v>
      </c>
      <c r="AS79" s="147">
        <f t="shared" si="58"/>
        <v>0.87389865474706685</v>
      </c>
      <c r="AT79" s="147">
        <f t="shared" si="58"/>
        <v>0.46745562130177531</v>
      </c>
      <c r="AU79" s="147">
        <f t="shared" si="58"/>
        <v>0.56404598769016356</v>
      </c>
      <c r="AV79" s="147">
        <f t="shared" si="58"/>
        <v>0.41645244215938315</v>
      </c>
      <c r="AW79" s="147">
        <f t="shared" si="58"/>
        <v>0.41743119266055051</v>
      </c>
      <c r="AX79" s="147">
        <f t="shared" si="58"/>
        <v>0.42540322580645196</v>
      </c>
      <c r="AY79" s="147">
        <f t="shared" si="58"/>
        <v>0.38290763290763286</v>
      </c>
      <c r="AZ79" s="147">
        <f t="shared" si="58"/>
        <v>0.2686025408348458</v>
      </c>
      <c r="BA79" s="147">
        <f t="shared" si="58"/>
        <v>1.9417475728155331E-2</v>
      </c>
      <c r="BB79" s="147">
        <f>Y79/T79-1</f>
        <v>-7.553041018387574E-2</v>
      </c>
      <c r="BC79" s="147">
        <f>Z79/U79-1</f>
        <v>-2.6845637583893245E-3</v>
      </c>
      <c r="BD79" s="147">
        <f>AA79/V79-1</f>
        <v>0.21500357980167228</v>
      </c>
      <c r="BE79" s="147">
        <f>AB79/W79-1</f>
        <v>0.28349206349206324</v>
      </c>
      <c r="BF79" s="147">
        <f t="shared" ref="BF79:BH79" si="59">AC79/Y79-1</f>
        <v>0.37897796817625484</v>
      </c>
      <c r="BG79" s="147">
        <f t="shared" si="59"/>
        <v>0.27550471063257076</v>
      </c>
      <c r="BH79" s="147">
        <f t="shared" si="59"/>
        <v>0.31822708092682106</v>
      </c>
    </row>
    <row r="80" spans="2:60" x14ac:dyDescent="0.5">
      <c r="C80" s="157"/>
      <c r="D80" s="157"/>
      <c r="E80" s="157"/>
      <c r="F80" s="157"/>
      <c r="G80" s="157"/>
      <c r="H80" s="157"/>
      <c r="I80" s="157"/>
      <c r="J80" s="157"/>
      <c r="K80" s="157"/>
      <c r="L80" s="157"/>
      <c r="M80" s="157"/>
      <c r="N80" s="157"/>
      <c r="O80" s="157"/>
      <c r="P80" s="157"/>
      <c r="Q80" s="157"/>
      <c r="R80" s="157"/>
      <c r="S80" s="157"/>
      <c r="T80" s="157"/>
      <c r="U80" s="157"/>
      <c r="V80" s="157"/>
      <c r="W80" s="434"/>
      <c r="X80" s="157"/>
      <c r="Y80" s="157"/>
      <c r="Z80" s="157"/>
      <c r="AA80" s="157"/>
      <c r="AB80" s="157"/>
      <c r="AC80" s="157"/>
      <c r="AD80" s="157"/>
      <c r="AE80" s="157"/>
      <c r="AF80" s="157"/>
      <c r="AG80" s="317"/>
      <c r="AH80" s="317"/>
      <c r="AI80" s="399">
        <f>AI79/AH79-1</f>
        <v>0.31338718291438017</v>
      </c>
      <c r="AK80" s="147"/>
      <c r="AL80" s="147"/>
      <c r="AM80" s="147"/>
      <c r="AN80" s="147"/>
      <c r="AO80" s="147"/>
      <c r="AP80" s="147"/>
      <c r="AQ80" s="147"/>
      <c r="AR80" s="147"/>
      <c r="AS80" s="147"/>
      <c r="AT80" s="147"/>
      <c r="AU80" s="147"/>
      <c r="AV80" s="147"/>
      <c r="AW80" s="147"/>
      <c r="AX80" s="147"/>
      <c r="AY80" s="147"/>
      <c r="AZ80" s="147"/>
      <c r="BA80" s="147"/>
      <c r="BB80" s="147"/>
      <c r="BC80" s="147"/>
      <c r="BD80" s="147"/>
    </row>
    <row r="81" spans="2:56" x14ac:dyDescent="0.5">
      <c r="B81" s="154" t="s">
        <v>1141</v>
      </c>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317"/>
      <c r="AH81" s="317"/>
      <c r="AI81" s="317"/>
      <c r="AK81" s="147"/>
      <c r="AL81" s="147"/>
      <c r="AM81" s="147"/>
      <c r="AN81" s="147"/>
      <c r="AO81" s="147"/>
      <c r="AP81" s="147"/>
      <c r="AQ81" s="147"/>
      <c r="AR81" s="147"/>
      <c r="AS81" s="147"/>
      <c r="AT81" s="147"/>
      <c r="AU81" s="147"/>
      <c r="AV81" s="147"/>
      <c r="AW81" s="147"/>
      <c r="AX81" s="147"/>
      <c r="AY81" s="147"/>
      <c r="AZ81" s="147"/>
      <c r="BA81" s="147"/>
      <c r="BB81" s="147"/>
      <c r="BC81" s="147"/>
      <c r="BD81" s="147"/>
    </row>
    <row r="82" spans="2:56" x14ac:dyDescent="0.5">
      <c r="B82" s="146" t="str">
        <f t="shared" ref="B82:B87" si="60">B68</f>
        <v>Brazil</v>
      </c>
      <c r="C82" s="157"/>
      <c r="D82" s="157"/>
      <c r="E82" s="157"/>
      <c r="F82" s="157"/>
      <c r="G82" s="157"/>
      <c r="H82" s="157"/>
      <c r="I82" s="157"/>
      <c r="J82" s="157"/>
      <c r="K82" s="157"/>
      <c r="L82" s="157"/>
      <c r="M82" s="157"/>
      <c r="N82" s="157"/>
      <c r="O82" s="157"/>
      <c r="P82" s="157"/>
      <c r="Q82" s="157"/>
      <c r="R82" s="157"/>
      <c r="S82" s="147">
        <f t="shared" ref="S82:W87" si="61">S68/S24</f>
        <v>0.48245614035087719</v>
      </c>
      <c r="T82" s="147">
        <f t="shared" si="61"/>
        <v>0.47572815533980584</v>
      </c>
      <c r="U82" s="147">
        <f t="shared" si="61"/>
        <v>0.50782997762863535</v>
      </c>
      <c r="V82" s="147">
        <f t="shared" si="61"/>
        <v>0.50796812749003983</v>
      </c>
      <c r="W82" s="147">
        <f t="shared" si="61"/>
        <v>0.41531322505800461</v>
      </c>
      <c r="X82" s="147"/>
      <c r="Y82" s="163">
        <v>0.42</v>
      </c>
      <c r="Z82" s="163">
        <v>0.42</v>
      </c>
      <c r="AA82" s="147">
        <f>AA68/AA24</f>
        <v>0.4227529919601194</v>
      </c>
      <c r="AB82" s="163">
        <v>0.41</v>
      </c>
      <c r="AC82" s="163">
        <v>0.44</v>
      </c>
      <c r="AD82" s="163">
        <v>0.44</v>
      </c>
      <c r="AE82" s="147">
        <f t="shared" ref="AE82:AE87" si="62">AE68/AE24</f>
        <v>0.46280741070643411</v>
      </c>
      <c r="AF82" s="147"/>
      <c r="AG82" s="301">
        <f t="shared" ref="AG82:AI87" si="63">AG68/AG24</f>
        <v>0.49590937696664567</v>
      </c>
      <c r="AH82" s="301">
        <f t="shared" si="63"/>
        <v>0.42</v>
      </c>
      <c r="AI82" s="301">
        <f t="shared" si="63"/>
        <v>0.44</v>
      </c>
      <c r="AK82" s="147"/>
      <c r="AL82" s="147"/>
      <c r="AM82" s="147"/>
      <c r="AN82" s="147"/>
      <c r="AO82" s="147"/>
      <c r="AP82" s="147"/>
      <c r="AQ82" s="147"/>
      <c r="AR82" s="147"/>
      <c r="AS82" s="147"/>
      <c r="AT82" s="147"/>
      <c r="AU82" s="147"/>
      <c r="AV82" s="147"/>
      <c r="AW82" s="147"/>
      <c r="AX82" s="147"/>
      <c r="AY82" s="147"/>
      <c r="AZ82" s="147"/>
      <c r="BA82" s="147"/>
      <c r="BB82" s="147"/>
      <c r="BC82" s="147"/>
      <c r="BD82" s="147"/>
    </row>
    <row r="83" spans="2:56" x14ac:dyDescent="0.5">
      <c r="B83" s="146" t="str">
        <f t="shared" si="60"/>
        <v>Argentina</v>
      </c>
      <c r="C83" s="157"/>
      <c r="D83" s="157"/>
      <c r="E83" s="157"/>
      <c r="F83" s="157"/>
      <c r="G83" s="157"/>
      <c r="H83" s="157"/>
      <c r="I83" s="157"/>
      <c r="J83" s="157"/>
      <c r="K83" s="157"/>
      <c r="L83" s="157"/>
      <c r="M83" s="157"/>
      <c r="N83" s="157"/>
      <c r="O83" s="157"/>
      <c r="P83" s="157"/>
      <c r="Q83" s="157"/>
      <c r="R83" s="157"/>
      <c r="S83" s="147">
        <f t="shared" si="61"/>
        <v>0.89</v>
      </c>
      <c r="T83" s="147">
        <f t="shared" si="61"/>
        <v>0.66666666666666674</v>
      </c>
      <c r="U83" s="147">
        <f t="shared" si="61"/>
        <v>0.54811715481171552</v>
      </c>
      <c r="V83" s="147">
        <f t="shared" si="61"/>
        <v>0.38095238095238093</v>
      </c>
      <c r="W83" s="147">
        <f t="shared" si="61"/>
        <v>0.37681159420289856</v>
      </c>
      <c r="X83" s="147"/>
      <c r="Y83" s="163">
        <v>0.4</v>
      </c>
      <c r="Z83" s="163">
        <v>0.41</v>
      </c>
      <c r="AA83" s="147">
        <f t="shared" ref="AA83:AA87" si="64">AA69/AA25</f>
        <v>0.40872093023255818</v>
      </c>
      <c r="AB83" s="163">
        <v>0.39</v>
      </c>
      <c r="AC83" s="163">
        <v>0.39</v>
      </c>
      <c r="AD83" s="163">
        <v>0.39</v>
      </c>
      <c r="AE83" s="147">
        <f t="shared" si="62"/>
        <v>0.39000000000000007</v>
      </c>
      <c r="AF83" s="147"/>
      <c r="AG83" s="301">
        <f t="shared" si="63"/>
        <v>0.64846870838881498</v>
      </c>
      <c r="AH83" s="301">
        <f t="shared" si="63"/>
        <v>0.4</v>
      </c>
      <c r="AI83" s="301">
        <f t="shared" si="63"/>
        <v>0.39</v>
      </c>
      <c r="AK83" s="147"/>
      <c r="AL83" s="147"/>
      <c r="AM83" s="147"/>
      <c r="AN83" s="147"/>
      <c r="AO83" s="147"/>
      <c r="AP83" s="147"/>
      <c r="AQ83" s="147"/>
      <c r="AR83" s="147"/>
      <c r="AS83" s="147"/>
      <c r="AT83" s="147"/>
      <c r="AU83" s="147"/>
      <c r="AV83" s="147"/>
      <c r="AW83" s="147"/>
      <c r="AX83" s="147"/>
      <c r="AY83" s="147"/>
      <c r="AZ83" s="147"/>
      <c r="BA83" s="147"/>
      <c r="BB83" s="147"/>
      <c r="BC83" s="147"/>
      <c r="BD83" s="147"/>
    </row>
    <row r="84" spans="2:56" x14ac:dyDescent="0.5">
      <c r="B84" s="146" t="str">
        <f t="shared" si="60"/>
        <v>Mexico</v>
      </c>
      <c r="C84" s="157"/>
      <c r="D84" s="157"/>
      <c r="E84" s="157"/>
      <c r="F84" s="157"/>
      <c r="G84" s="157"/>
      <c r="H84" s="157"/>
      <c r="I84" s="157"/>
      <c r="J84" s="157"/>
      <c r="K84" s="157"/>
      <c r="L84" s="157"/>
      <c r="M84" s="157"/>
      <c r="N84" s="157"/>
      <c r="O84" s="157"/>
      <c r="P84" s="157"/>
      <c r="Q84" s="157"/>
      <c r="R84" s="157"/>
      <c r="S84" s="147">
        <f t="shared" si="61"/>
        <v>0.30396475770925113</v>
      </c>
      <c r="T84" s="147">
        <f t="shared" si="61"/>
        <v>0.37455830388692579</v>
      </c>
      <c r="U84" s="147">
        <f t="shared" si="61"/>
        <v>0.26158940397350994</v>
      </c>
      <c r="V84" s="147">
        <f t="shared" si="61"/>
        <v>0.2612359550561798</v>
      </c>
      <c r="W84" s="147">
        <f t="shared" si="61"/>
        <v>0.29117647058823531</v>
      </c>
      <c r="X84" s="147"/>
      <c r="Y84" s="163">
        <v>0.34</v>
      </c>
      <c r="Z84" s="163">
        <v>0.34</v>
      </c>
      <c r="AA84" s="147">
        <f t="shared" si="64"/>
        <v>0.3424030308497204</v>
      </c>
      <c r="AB84" s="163">
        <v>0.31</v>
      </c>
      <c r="AC84" s="163">
        <v>0.34</v>
      </c>
      <c r="AD84" s="163">
        <v>0.34</v>
      </c>
      <c r="AE84" s="147">
        <f t="shared" si="62"/>
        <v>0.36223525226305459</v>
      </c>
      <c r="AF84" s="147"/>
      <c r="AG84" s="301">
        <f t="shared" si="63"/>
        <v>0.2970890410958904</v>
      </c>
      <c r="AH84" s="301">
        <f t="shared" si="63"/>
        <v>0.33</v>
      </c>
      <c r="AI84" s="301">
        <f t="shared" si="63"/>
        <v>0.34</v>
      </c>
      <c r="AK84" s="147"/>
      <c r="AL84" s="147"/>
      <c r="AM84" s="147"/>
      <c r="AN84" s="147"/>
      <c r="AO84" s="147"/>
      <c r="AP84" s="147"/>
      <c r="AQ84" s="147"/>
      <c r="AR84" s="147"/>
      <c r="AS84" s="147"/>
      <c r="AT84" s="147"/>
      <c r="AU84" s="147"/>
      <c r="AV84" s="147"/>
      <c r="AW84" s="147"/>
      <c r="AX84" s="147"/>
      <c r="AY84" s="147"/>
      <c r="AZ84" s="147"/>
      <c r="BA84" s="147"/>
      <c r="BB84" s="147"/>
      <c r="BC84" s="147"/>
      <c r="BD84" s="147"/>
    </row>
    <row r="85" spans="2:56" x14ac:dyDescent="0.5">
      <c r="B85" s="146" t="str">
        <f t="shared" si="60"/>
        <v>Chile</v>
      </c>
      <c r="C85" s="157"/>
      <c r="D85" s="157"/>
      <c r="E85" s="157"/>
      <c r="F85" s="157"/>
      <c r="G85" s="157"/>
      <c r="H85" s="157"/>
      <c r="I85" s="157"/>
      <c r="J85" s="157"/>
      <c r="K85" s="157"/>
      <c r="L85" s="157"/>
      <c r="M85" s="157"/>
      <c r="N85" s="157"/>
      <c r="O85" s="157"/>
      <c r="P85" s="157"/>
      <c r="Q85" s="157"/>
      <c r="R85" s="157"/>
      <c r="S85" s="147">
        <f t="shared" si="61"/>
        <v>0.64084507042253525</v>
      </c>
      <c r="T85" s="147">
        <f t="shared" si="61"/>
        <v>0.62676056338028174</v>
      </c>
      <c r="U85" s="147">
        <f t="shared" si="61"/>
        <v>0.55645161290322587</v>
      </c>
      <c r="V85" s="147">
        <f t="shared" si="61"/>
        <v>0.61073825503355705</v>
      </c>
      <c r="W85" s="147">
        <f t="shared" si="61"/>
        <v>0.60483870967741937</v>
      </c>
      <c r="X85" s="147"/>
      <c r="Y85" s="163">
        <v>0.6</v>
      </c>
      <c r="Z85" s="163">
        <v>0.6</v>
      </c>
      <c r="AA85" s="147">
        <f t="shared" si="64"/>
        <v>0.59638554216867468</v>
      </c>
      <c r="AB85" s="163">
        <v>0.55000000000000004</v>
      </c>
      <c r="AC85" s="163">
        <v>0.55000000000000004</v>
      </c>
      <c r="AD85" s="163">
        <v>0.55000000000000004</v>
      </c>
      <c r="AE85" s="147">
        <f t="shared" si="62"/>
        <v>0.54999999999999993</v>
      </c>
      <c r="AF85" s="147"/>
      <c r="AG85" s="301">
        <f t="shared" si="63"/>
        <v>0.61041292639138245</v>
      </c>
      <c r="AH85" s="301">
        <f t="shared" si="63"/>
        <v>0.6</v>
      </c>
      <c r="AI85" s="301">
        <f t="shared" si="63"/>
        <v>0.55000000000000004</v>
      </c>
      <c r="AK85" s="147"/>
      <c r="AL85" s="147"/>
      <c r="AM85" s="147"/>
      <c r="AN85" s="147"/>
      <c r="AO85" s="147"/>
      <c r="AP85" s="147"/>
      <c r="AQ85" s="147"/>
      <c r="AR85" s="147"/>
      <c r="AS85" s="147"/>
      <c r="AT85" s="147"/>
      <c r="AU85" s="147"/>
      <c r="AV85" s="147"/>
      <c r="AW85" s="147"/>
      <c r="AX85" s="147"/>
      <c r="AY85" s="147"/>
      <c r="AZ85" s="147"/>
      <c r="BA85" s="147"/>
      <c r="BB85" s="147"/>
      <c r="BC85" s="147"/>
      <c r="BD85" s="147"/>
    </row>
    <row r="86" spans="2:56" x14ac:dyDescent="0.5">
      <c r="B86" s="168" t="str">
        <f t="shared" si="60"/>
        <v>Other LatAm</v>
      </c>
      <c r="C86" s="389"/>
      <c r="D86" s="389"/>
      <c r="E86" s="389"/>
      <c r="F86" s="389"/>
      <c r="G86" s="389"/>
      <c r="H86" s="389"/>
      <c r="I86" s="389"/>
      <c r="J86" s="389"/>
      <c r="K86" s="389"/>
      <c r="L86" s="389"/>
      <c r="M86" s="389"/>
      <c r="N86" s="389"/>
      <c r="O86" s="389"/>
      <c r="P86" s="389"/>
      <c r="Q86" s="389"/>
      <c r="R86" s="389"/>
      <c r="S86" s="388">
        <f t="shared" si="61"/>
        <v>0.43243243243243246</v>
      </c>
      <c r="T86" s="388">
        <f t="shared" si="61"/>
        <v>0.38666666666666666</v>
      </c>
      <c r="U86" s="388">
        <f t="shared" si="61"/>
        <v>0.3588709677419355</v>
      </c>
      <c r="V86" s="388">
        <f t="shared" si="61"/>
        <v>0.34482758620689652</v>
      </c>
      <c r="W86" s="388">
        <f t="shared" si="61"/>
        <v>0.36651583710407237</v>
      </c>
      <c r="X86" s="388"/>
      <c r="Y86" s="390">
        <v>0.39</v>
      </c>
      <c r="Z86" s="390">
        <v>0.39</v>
      </c>
      <c r="AA86" s="388">
        <f t="shared" si="64"/>
        <v>0.4085921547555077</v>
      </c>
      <c r="AB86" s="390">
        <v>0.39</v>
      </c>
      <c r="AC86" s="390">
        <v>0.39</v>
      </c>
      <c r="AD86" s="390">
        <v>0.39</v>
      </c>
      <c r="AE86" s="388">
        <f t="shared" si="62"/>
        <v>0.38999999999999985</v>
      </c>
      <c r="AF86" s="147"/>
      <c r="AG86" s="392">
        <f t="shared" si="63"/>
        <v>0.37862950058072015</v>
      </c>
      <c r="AH86" s="392">
        <f t="shared" si="63"/>
        <v>0.39</v>
      </c>
      <c r="AI86" s="392">
        <f t="shared" si="63"/>
        <v>0.39</v>
      </c>
      <c r="AK86" s="147"/>
      <c r="AL86" s="147"/>
      <c r="AM86" s="147"/>
      <c r="AN86" s="147"/>
      <c r="AO86" s="147"/>
      <c r="AP86" s="147"/>
      <c r="AQ86" s="147"/>
      <c r="AR86" s="147"/>
      <c r="AS86" s="147"/>
      <c r="AT86" s="147"/>
      <c r="AU86" s="147"/>
      <c r="AV86" s="147"/>
      <c r="AW86" s="147"/>
      <c r="AX86" s="147"/>
      <c r="AY86" s="147"/>
      <c r="AZ86" s="147"/>
      <c r="BA86" s="147"/>
      <c r="BB86" s="147"/>
      <c r="BC86" s="147"/>
      <c r="BD86" s="147"/>
    </row>
    <row r="87" spans="2:56" x14ac:dyDescent="0.5">
      <c r="B87" s="146" t="str">
        <f t="shared" si="60"/>
        <v>LatAm</v>
      </c>
      <c r="C87" s="157"/>
      <c r="D87" s="157"/>
      <c r="E87" s="157"/>
      <c r="F87" s="157"/>
      <c r="G87" s="157"/>
      <c r="H87" s="157"/>
      <c r="I87" s="157"/>
      <c r="J87" s="157"/>
      <c r="K87" s="157"/>
      <c r="L87" s="157"/>
      <c r="M87" s="157"/>
      <c r="N87" s="157"/>
      <c r="O87" s="157"/>
      <c r="P87" s="157"/>
      <c r="Q87" s="157"/>
      <c r="R87" s="157"/>
      <c r="S87" s="147">
        <f t="shared" si="61"/>
        <v>0.53767820773930752</v>
      </c>
      <c r="T87" s="147">
        <f t="shared" si="61"/>
        <v>0.48542159180457056</v>
      </c>
      <c r="U87" s="147">
        <f t="shared" si="61"/>
        <v>0.43749999999999994</v>
      </c>
      <c r="V87" s="147">
        <f t="shared" si="61"/>
        <v>0.41749049429657786</v>
      </c>
      <c r="W87" s="147">
        <f t="shared" si="61"/>
        <v>0.38755980861244016</v>
      </c>
      <c r="X87" s="147"/>
      <c r="Y87" s="147">
        <f>Y73/Y29</f>
        <v>0.40950354609929074</v>
      </c>
      <c r="Z87" s="147">
        <f>Z73/Z29</f>
        <v>0.4122012578616352</v>
      </c>
      <c r="AA87" s="147">
        <f t="shared" si="64"/>
        <v>0.41541106307259379</v>
      </c>
      <c r="AB87" s="147">
        <f>AB73/AB29</f>
        <v>0.39262857142857138</v>
      </c>
      <c r="AC87" s="147">
        <f>AC73/AC29</f>
        <v>0.41128342245989313</v>
      </c>
      <c r="AD87" s="147">
        <f>AD73/AD29</f>
        <v>0.40918781725888331</v>
      </c>
      <c r="AE87" s="147">
        <f t="shared" si="62"/>
        <v>0.42612103288550363</v>
      </c>
      <c r="AF87" s="147"/>
      <c r="AG87" s="301">
        <f t="shared" si="63"/>
        <v>0.46447421843280545</v>
      </c>
      <c r="AH87" s="301">
        <f t="shared" si="63"/>
        <v>0.40741569821028706</v>
      </c>
      <c r="AI87" s="301">
        <f t="shared" si="63"/>
        <v>0.41080970552604845</v>
      </c>
      <c r="AK87" s="147"/>
      <c r="AL87" s="147"/>
      <c r="AM87" s="147"/>
      <c r="AN87" s="147"/>
      <c r="AO87" s="147"/>
      <c r="AP87" s="147"/>
      <c r="AQ87" s="147"/>
      <c r="AR87" s="147"/>
      <c r="AS87" s="147"/>
      <c r="AT87" s="147"/>
      <c r="AU87" s="147"/>
      <c r="AV87" s="147"/>
      <c r="AW87" s="147"/>
      <c r="AX87" s="147"/>
      <c r="AY87" s="147"/>
      <c r="AZ87" s="147"/>
      <c r="BA87" s="147"/>
      <c r="BB87" s="147"/>
      <c r="BC87" s="147"/>
      <c r="BD87" s="147"/>
    </row>
    <row r="88" spans="2:56" x14ac:dyDescent="0.5">
      <c r="C88" s="157"/>
      <c r="D88" s="157"/>
      <c r="E88" s="157"/>
      <c r="F88" s="157"/>
      <c r="G88" s="157"/>
      <c r="H88" s="157"/>
      <c r="I88" s="157"/>
      <c r="J88" s="157"/>
      <c r="K88" s="157"/>
      <c r="L88" s="157"/>
      <c r="M88" s="157"/>
      <c r="N88" s="157"/>
      <c r="O88" s="157"/>
      <c r="P88" s="157"/>
      <c r="Q88" s="157"/>
      <c r="R88" s="157"/>
      <c r="S88" s="147"/>
      <c r="T88" s="147"/>
      <c r="U88" s="147"/>
      <c r="V88" s="147"/>
      <c r="W88" s="147"/>
      <c r="X88" s="147"/>
      <c r="Y88" s="157"/>
      <c r="Z88" s="157"/>
      <c r="AA88" s="147"/>
      <c r="AB88" s="157"/>
      <c r="AC88" s="157"/>
      <c r="AD88" s="157"/>
      <c r="AE88" s="147"/>
      <c r="AF88" s="147"/>
      <c r="AG88" s="301"/>
      <c r="AH88" s="301"/>
      <c r="AI88" s="301"/>
      <c r="AK88" s="147"/>
      <c r="AL88" s="147"/>
      <c r="AM88" s="147"/>
      <c r="AN88" s="147"/>
      <c r="AO88" s="147"/>
      <c r="AP88" s="147"/>
      <c r="AQ88" s="147"/>
      <c r="AR88" s="147"/>
      <c r="AS88" s="147"/>
      <c r="AT88" s="147"/>
      <c r="AU88" s="147"/>
      <c r="AV88" s="147"/>
      <c r="AW88" s="147"/>
      <c r="AX88" s="147"/>
      <c r="AY88" s="147"/>
      <c r="AZ88" s="147"/>
      <c r="BA88" s="147"/>
      <c r="BB88" s="147"/>
      <c r="BC88" s="147"/>
      <c r="BD88" s="147"/>
    </row>
    <row r="89" spans="2:56" x14ac:dyDescent="0.5">
      <c r="B89" s="146" t="str">
        <f>B75</f>
        <v>Nigeria</v>
      </c>
      <c r="C89" s="157"/>
      <c r="D89" s="157"/>
      <c r="E89" s="157"/>
      <c r="F89" s="157"/>
      <c r="G89" s="157"/>
      <c r="H89" s="157"/>
      <c r="I89" s="157"/>
      <c r="J89" s="157"/>
      <c r="K89" s="157"/>
      <c r="L89" s="157"/>
      <c r="M89" s="157"/>
      <c r="N89" s="157"/>
      <c r="O89" s="157"/>
      <c r="P89" s="157"/>
      <c r="Q89" s="157"/>
      <c r="R89" s="157"/>
      <c r="S89" s="147">
        <f t="shared" ref="S89:W92" si="65">S75/S31</f>
        <v>8.9219330855018583E-2</v>
      </c>
      <c r="T89" s="147">
        <f t="shared" si="65"/>
        <v>9.8039215686274526E-3</v>
      </c>
      <c r="U89" s="147">
        <f t="shared" si="65"/>
        <v>0.2048192771084337</v>
      </c>
      <c r="V89" s="147">
        <f t="shared" si="65"/>
        <v>5.281690140845071E-2</v>
      </c>
      <c r="W89" s="147">
        <f t="shared" si="65"/>
        <v>6.9444444444444448E-2</v>
      </c>
      <c r="X89" s="147"/>
      <c r="Y89" s="163">
        <v>0.08</v>
      </c>
      <c r="Z89" s="163">
        <v>0.09</v>
      </c>
      <c r="AA89" s="147">
        <f>AA75/AA31</f>
        <v>0.10608108108108107</v>
      </c>
      <c r="AB89" s="163">
        <v>0.15</v>
      </c>
      <c r="AC89" s="163">
        <v>0.17</v>
      </c>
      <c r="AD89" s="163">
        <v>0.18</v>
      </c>
      <c r="AE89" s="147">
        <f>AE75/AE31</f>
        <v>0.17697050938337805</v>
      </c>
      <c r="AF89" s="147"/>
      <c r="AG89" s="301">
        <f t="shared" ref="AG89:AI93" si="66">AG75/AG31</f>
        <v>6.9047619047619052E-2</v>
      </c>
      <c r="AH89" s="301">
        <f t="shared" si="66"/>
        <v>0.09</v>
      </c>
      <c r="AI89" s="301">
        <f t="shared" si="66"/>
        <v>0.17</v>
      </c>
      <c r="AK89" s="147"/>
      <c r="AL89" s="147"/>
      <c r="AM89" s="147"/>
      <c r="AN89" s="147"/>
      <c r="AO89" s="147"/>
      <c r="AP89" s="147"/>
      <c r="AQ89" s="147"/>
      <c r="AR89" s="147"/>
      <c r="AS89" s="147"/>
      <c r="AT89" s="147"/>
      <c r="AU89" s="147"/>
      <c r="AV89" s="147"/>
      <c r="AW89" s="147"/>
      <c r="AX89" s="147"/>
      <c r="AY89" s="147"/>
      <c r="AZ89" s="147"/>
      <c r="BA89" s="147"/>
      <c r="BB89" s="147"/>
      <c r="BC89" s="147"/>
      <c r="BD89" s="147"/>
    </row>
    <row r="90" spans="2:56" x14ac:dyDescent="0.5">
      <c r="B90" s="146" t="str">
        <f>B76</f>
        <v>Egypt</v>
      </c>
      <c r="C90" s="157"/>
      <c r="D90" s="157"/>
      <c r="E90" s="157"/>
      <c r="F90" s="157"/>
      <c r="G90" s="157"/>
      <c r="H90" s="157"/>
      <c r="I90" s="157"/>
      <c r="J90" s="157"/>
      <c r="K90" s="157"/>
      <c r="L90" s="157"/>
      <c r="M90" s="157"/>
      <c r="N90" s="157"/>
      <c r="O90" s="157"/>
      <c r="P90" s="157"/>
      <c r="Q90" s="157"/>
      <c r="R90" s="157"/>
      <c r="S90" s="147">
        <f t="shared" si="65"/>
        <v>0.77142857142857146</v>
      </c>
      <c r="T90" s="147">
        <f t="shared" si="65"/>
        <v>0.8936170212765957</v>
      </c>
      <c r="U90" s="147">
        <f t="shared" si="65"/>
        <v>0.95049504950495045</v>
      </c>
      <c r="V90" s="147">
        <f t="shared" si="65"/>
        <v>0.52173913043478259</v>
      </c>
      <c r="W90" s="147">
        <f t="shared" si="65"/>
        <v>0.26410256410256411</v>
      </c>
      <c r="X90" s="147"/>
      <c r="Y90" s="163">
        <v>0.18</v>
      </c>
      <c r="Z90" s="163">
        <v>0.18</v>
      </c>
      <c r="AA90" s="147">
        <f>AA76/AA32</f>
        <v>0.18799999999999997</v>
      </c>
      <c r="AB90" s="163">
        <v>0.3</v>
      </c>
      <c r="AC90" s="163">
        <v>0.3</v>
      </c>
      <c r="AD90" s="163">
        <v>0.3</v>
      </c>
      <c r="AE90" s="147">
        <f>AE76/AE32</f>
        <v>0.3</v>
      </c>
      <c r="AF90" s="147"/>
      <c r="AG90" s="301">
        <f t="shared" si="66"/>
        <v>0.71117166212534078</v>
      </c>
      <c r="AH90" s="301">
        <f t="shared" si="66"/>
        <v>0.22</v>
      </c>
      <c r="AI90" s="301">
        <f t="shared" si="66"/>
        <v>0.3</v>
      </c>
      <c r="AK90" s="147"/>
      <c r="AL90" s="147"/>
      <c r="AM90" s="147"/>
      <c r="AN90" s="147"/>
      <c r="AO90" s="147"/>
      <c r="AP90" s="147"/>
      <c r="AQ90" s="147"/>
      <c r="AR90" s="147"/>
      <c r="AS90" s="147"/>
      <c r="AT90" s="147"/>
      <c r="AU90" s="147"/>
      <c r="AV90" s="147"/>
      <c r="AW90" s="147"/>
      <c r="AX90" s="147"/>
      <c r="AY90" s="147"/>
      <c r="AZ90" s="147"/>
      <c r="BA90" s="147"/>
      <c r="BB90" s="147"/>
      <c r="BC90" s="147"/>
      <c r="BD90" s="147"/>
    </row>
    <row r="91" spans="2:56" x14ac:dyDescent="0.5">
      <c r="B91" s="168" t="str">
        <f>B77</f>
        <v>Other</v>
      </c>
      <c r="C91" s="389"/>
      <c r="D91" s="389"/>
      <c r="E91" s="389"/>
      <c r="F91" s="389"/>
      <c r="G91" s="389"/>
      <c r="H91" s="389"/>
      <c r="I91" s="389"/>
      <c r="J91" s="389"/>
      <c r="K91" s="389"/>
      <c r="L91" s="389"/>
      <c r="M91" s="389"/>
      <c r="N91" s="389"/>
      <c r="O91" s="389"/>
      <c r="P91" s="389"/>
      <c r="Q91" s="389"/>
      <c r="R91" s="389"/>
      <c r="S91" s="388">
        <f t="shared" si="65"/>
        <v>0.44827586206896497</v>
      </c>
      <c r="T91" s="388">
        <f t="shared" si="65"/>
        <v>0.51648351648351698</v>
      </c>
      <c r="U91" s="388">
        <f t="shared" si="65"/>
        <v>0.38947368421052614</v>
      </c>
      <c r="V91" s="388">
        <f t="shared" ca="1" si="65"/>
        <v>0.40206185567010294</v>
      </c>
      <c r="W91" s="388">
        <f t="shared" ca="1" si="65"/>
        <v>0.28125000000000006</v>
      </c>
      <c r="X91" s="388"/>
      <c r="Y91" s="390">
        <v>0.3</v>
      </c>
      <c r="Z91" s="390">
        <v>0.3</v>
      </c>
      <c r="AA91" s="388">
        <f ca="1">AA77/AA33</f>
        <v>0.31249999999999983</v>
      </c>
      <c r="AB91" s="390">
        <v>0.3</v>
      </c>
      <c r="AC91" s="390">
        <v>0.3</v>
      </c>
      <c r="AD91" s="390">
        <v>0.3</v>
      </c>
      <c r="AE91" s="388">
        <f>AE77/AE33</f>
        <v>0.30000000000000016</v>
      </c>
      <c r="AF91" s="147"/>
      <c r="AG91" s="392">
        <f t="shared" ca="1" si="66"/>
        <v>0.43783783783783775</v>
      </c>
      <c r="AH91" s="392">
        <f t="shared" si="66"/>
        <v>0.3</v>
      </c>
      <c r="AI91" s="392">
        <f t="shared" si="66"/>
        <v>0.3</v>
      </c>
      <c r="AK91" s="147"/>
      <c r="AL91" s="147"/>
      <c r="AM91" s="147"/>
      <c r="AN91" s="147"/>
      <c r="AO91" s="147"/>
      <c r="AP91" s="147"/>
      <c r="AQ91" s="147"/>
      <c r="AR91" s="147"/>
      <c r="AS91" s="147"/>
      <c r="AT91" s="147"/>
      <c r="AU91" s="147"/>
      <c r="AV91" s="147"/>
      <c r="AW91" s="147"/>
      <c r="AX91" s="147"/>
      <c r="AY91" s="147"/>
      <c r="AZ91" s="147"/>
      <c r="BA91" s="147"/>
      <c r="BB91" s="147"/>
      <c r="BC91" s="147"/>
      <c r="BD91" s="147"/>
    </row>
    <row r="92" spans="2:56" x14ac:dyDescent="0.5">
      <c r="B92" s="146" t="str">
        <f>B78</f>
        <v>Africa / Asia</v>
      </c>
      <c r="C92" s="157"/>
      <c r="D92" s="157"/>
      <c r="E92" s="157"/>
      <c r="F92" s="157"/>
      <c r="G92" s="157"/>
      <c r="H92" s="157"/>
      <c r="I92" s="157"/>
      <c r="J92" s="157"/>
      <c r="K92" s="157"/>
      <c r="L92" s="157"/>
      <c r="M92" s="157"/>
      <c r="N92" s="157"/>
      <c r="O92" s="157"/>
      <c r="P92" s="157"/>
      <c r="Q92" s="157"/>
      <c r="R92" s="157"/>
      <c r="S92" s="147">
        <f t="shared" si="65"/>
        <v>0.23017902813299226</v>
      </c>
      <c r="T92" s="147">
        <f t="shared" si="65"/>
        <v>0.26608187134502936</v>
      </c>
      <c r="U92" s="147">
        <f t="shared" si="65"/>
        <v>0.53763440860215039</v>
      </c>
      <c r="V92" s="147">
        <f t="shared" ca="1" si="65"/>
        <v>0.26548672566371684</v>
      </c>
      <c r="W92" s="147">
        <f t="shared" ca="1" si="65"/>
        <v>0.2440677966101695</v>
      </c>
      <c r="X92" s="147"/>
      <c r="Y92" s="147">
        <f>Y78/Y34</f>
        <v>0.20052631578947369</v>
      </c>
      <c r="Z92" s="147">
        <f>Z78/Z34</f>
        <v>0.1990909090909091</v>
      </c>
      <c r="AA92" s="147">
        <f ca="1">AA78/AA34</f>
        <v>0.21204081632653055</v>
      </c>
      <c r="AB92" s="147">
        <f>AB78/AB34</f>
        <v>0.25312499999999999</v>
      </c>
      <c r="AC92" s="147">
        <f>AC78/AC34</f>
        <v>0.2592156862745098</v>
      </c>
      <c r="AD92" s="147">
        <f>AD78/AD34</f>
        <v>0.26222222222222225</v>
      </c>
      <c r="AE92" s="147">
        <f>AE78/AE34</f>
        <v>0.26428793774319076</v>
      </c>
      <c r="AF92" s="147"/>
      <c r="AG92" s="301">
        <f t="shared" ca="1" si="66"/>
        <v>0.30500951173113511</v>
      </c>
      <c r="AH92" s="301">
        <f t="shared" si="66"/>
        <v>0.21668421052631578</v>
      </c>
      <c r="AI92" s="301">
        <f t="shared" si="66"/>
        <v>0.26011737629459153</v>
      </c>
      <c r="AK92" s="147"/>
      <c r="AL92" s="147"/>
      <c r="AM92" s="147"/>
      <c r="AN92" s="147"/>
      <c r="AO92" s="147"/>
      <c r="AP92" s="147"/>
      <c r="AQ92" s="147"/>
      <c r="AR92" s="147"/>
      <c r="AS92" s="147"/>
      <c r="AT92" s="147"/>
      <c r="AU92" s="147"/>
      <c r="AV92" s="147"/>
      <c r="AW92" s="147"/>
      <c r="AX92" s="147"/>
      <c r="AY92" s="147"/>
      <c r="AZ92" s="147"/>
      <c r="BA92" s="147"/>
      <c r="BB92" s="147"/>
      <c r="BC92" s="147"/>
      <c r="BD92" s="147"/>
    </row>
    <row r="93" spans="2:56" x14ac:dyDescent="0.5">
      <c r="B93" s="154" t="s">
        <v>1141</v>
      </c>
      <c r="C93" s="218">
        <f t="shared" ref="C93:AE93" si="67">C79/C35</f>
        <v>0.45378367925744489</v>
      </c>
      <c r="D93" s="218">
        <f t="shared" si="67"/>
        <v>0.67817738931078941</v>
      </c>
      <c r="E93" s="218">
        <f t="shared" si="67"/>
        <v>0.68935305694876525</v>
      </c>
      <c r="F93" s="218">
        <f t="shared" si="67"/>
        <v>0.67508275823374286</v>
      </c>
      <c r="G93" s="218">
        <f t="shared" si="67"/>
        <v>0.61139205334815228</v>
      </c>
      <c r="H93" s="218">
        <f t="shared" si="67"/>
        <v>0.55814967304432062</v>
      </c>
      <c r="I93" s="218">
        <f t="shared" si="67"/>
        <v>0.54719611021069692</v>
      </c>
      <c r="J93" s="218">
        <f t="shared" si="67"/>
        <v>0.59654286786136845</v>
      </c>
      <c r="K93" s="218">
        <f t="shared" si="67"/>
        <v>0.5779759538950715</v>
      </c>
      <c r="L93" s="218">
        <f t="shared" si="67"/>
        <v>0.57288135593220335</v>
      </c>
      <c r="M93" s="218">
        <f t="shared" si="67"/>
        <v>0.50209912536443158</v>
      </c>
      <c r="N93" s="218">
        <f t="shared" si="67"/>
        <v>0.509829619921363</v>
      </c>
      <c r="O93" s="218">
        <f t="shared" si="67"/>
        <v>0.49828571428571428</v>
      </c>
      <c r="P93" s="218">
        <f t="shared" si="67"/>
        <v>0.49011857707509882</v>
      </c>
      <c r="Q93" s="218">
        <f t="shared" si="67"/>
        <v>0.48142984807864164</v>
      </c>
      <c r="R93" s="218">
        <f t="shared" si="67"/>
        <v>0.4653716216216216</v>
      </c>
      <c r="S93" s="218">
        <f t="shared" si="67"/>
        <v>0.45010924981791695</v>
      </c>
      <c r="T93" s="218">
        <f t="shared" si="67"/>
        <v>0.43885785226567364</v>
      </c>
      <c r="U93" s="218">
        <f t="shared" si="67"/>
        <v>0.45454545454545453</v>
      </c>
      <c r="V93" s="218">
        <f t="shared" si="67"/>
        <v>0.3718085106382979</v>
      </c>
      <c r="W93" s="218">
        <f t="shared" si="67"/>
        <v>0.34164859002169196</v>
      </c>
      <c r="X93" s="218"/>
      <c r="Y93" s="218">
        <f t="shared" si="67"/>
        <v>0.36513966480446924</v>
      </c>
      <c r="Z93" s="218">
        <f t="shared" si="67"/>
        <v>0.36600985221674875</v>
      </c>
      <c r="AA93" s="218">
        <f t="shared" si="67"/>
        <v>0.37178728320270349</v>
      </c>
      <c r="AB93" s="218">
        <f t="shared" si="67"/>
        <v>0.36260089686098645</v>
      </c>
      <c r="AC93" s="218">
        <f t="shared" si="67"/>
        <v>0.37869747899159667</v>
      </c>
      <c r="AD93" s="218">
        <f t="shared" si="67"/>
        <v>0.37756972111553788</v>
      </c>
      <c r="AE93" s="218">
        <f t="shared" si="67"/>
        <v>0.38990855263982749</v>
      </c>
      <c r="AF93" s="218"/>
      <c r="AG93" s="318">
        <f t="shared" ca="1" si="66"/>
        <v>0.42580347531908347</v>
      </c>
      <c r="AH93" s="318">
        <f t="shared" si="66"/>
        <v>0.36182253578667795</v>
      </c>
      <c r="AI93" s="318">
        <f t="shared" si="66"/>
        <v>0.37804336892688101</v>
      </c>
    </row>
    <row r="94" spans="2:56" x14ac:dyDescent="0.5">
      <c r="B94" s="154"/>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315"/>
      <c r="AH94" s="315"/>
      <c r="AI94" s="315"/>
    </row>
    <row r="95" spans="2:56" x14ac:dyDescent="0.5">
      <c r="B95" s="154" t="s">
        <v>1105</v>
      </c>
      <c r="C95" s="218"/>
      <c r="D95" s="218"/>
      <c r="E95" s="218"/>
      <c r="F95" s="218"/>
      <c r="G95" s="220">
        <f t="shared" ref="G95:AE95" si="68">G79/G3</f>
        <v>2.8341061308603813E-2</v>
      </c>
      <c r="H95" s="220">
        <f t="shared" si="68"/>
        <v>3.3112068965517237E-2</v>
      </c>
      <c r="I95" s="220">
        <f t="shared" si="68"/>
        <v>2.9512237762237763E-2</v>
      </c>
      <c r="J95" s="220">
        <f t="shared" si="68"/>
        <v>2.7351151098174122E-2</v>
      </c>
      <c r="K95" s="220">
        <f t="shared" si="68"/>
        <v>2.5129063613781186E-2</v>
      </c>
      <c r="L95" s="220">
        <f t="shared" si="68"/>
        <v>2.3214285714285712E-2</v>
      </c>
      <c r="M95" s="220">
        <f t="shared" si="68"/>
        <v>1.9008830022075058E-2</v>
      </c>
      <c r="N95" s="220">
        <f t="shared" si="68"/>
        <v>2.095905172413793E-2</v>
      </c>
      <c r="O95" s="220">
        <f t="shared" si="68"/>
        <v>2.0722433460076045E-2</v>
      </c>
      <c r="P95" s="220">
        <f t="shared" si="68"/>
        <v>2.0386354295108919E-2</v>
      </c>
      <c r="Q95" s="220">
        <f t="shared" si="68"/>
        <v>1.9704462326261888E-2</v>
      </c>
      <c r="R95" s="220">
        <f t="shared" si="68"/>
        <v>1.6717233009708739E-2</v>
      </c>
      <c r="S95" s="220">
        <f t="shared" si="68"/>
        <v>1.7291550083939566E-2</v>
      </c>
      <c r="T95" s="220">
        <f t="shared" si="68"/>
        <v>1.6167390807226165E-2</v>
      </c>
      <c r="U95" s="220">
        <f t="shared" si="68"/>
        <v>1.613252490255522E-2</v>
      </c>
      <c r="V95" s="220">
        <f t="shared" si="68"/>
        <v>1.3676384269223246E-2</v>
      </c>
      <c r="W95" s="220">
        <f t="shared" si="68"/>
        <v>1.1864406779661017E-2</v>
      </c>
      <c r="X95" s="220"/>
      <c r="Y95" s="220">
        <f t="shared" si="68"/>
        <v>1.1268965517241379E-2</v>
      </c>
      <c r="Z95" s="220">
        <f t="shared" si="68"/>
        <v>1.0926470588235294E-2</v>
      </c>
      <c r="AA95" s="220">
        <f t="shared" si="68"/>
        <v>1.066013777845265E-2</v>
      </c>
      <c r="AB95" s="220">
        <f t="shared" si="68"/>
        <v>1.0781333333333332E-2</v>
      </c>
      <c r="AC95" s="220">
        <f t="shared" si="68"/>
        <v>1.0242045454545455E-2</v>
      </c>
      <c r="AD95" s="220">
        <f t="shared" si="68"/>
        <v>1.0190322580645162E-2</v>
      </c>
      <c r="AE95" s="220">
        <f t="shared" si="68"/>
        <v>1.0951928945052918E-2</v>
      </c>
      <c r="AF95" s="220"/>
      <c r="AG95" s="312"/>
      <c r="AH95" s="312"/>
      <c r="AI95" s="312"/>
    </row>
    <row r="96" spans="2:56" x14ac:dyDescent="0.5">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315"/>
      <c r="AH96" s="315"/>
      <c r="AI96" s="315"/>
      <c r="AJ96" s="146" t="s">
        <v>548</v>
      </c>
    </row>
    <row r="97" spans="2:56" x14ac:dyDescent="0.5">
      <c r="B97" s="146" t="s">
        <v>1102</v>
      </c>
      <c r="C97" s="161"/>
      <c r="D97" s="161"/>
      <c r="E97" s="161"/>
      <c r="F97" s="161"/>
      <c r="G97" s="161"/>
      <c r="H97" s="161"/>
      <c r="I97" s="161"/>
      <c r="J97" s="161"/>
      <c r="K97" s="159">
        <f t="shared" ref="K97:V97" si="69">K35-J35</f>
        <v>5.6030000000000015</v>
      </c>
      <c r="L97" s="159">
        <f t="shared" si="69"/>
        <v>18.744</v>
      </c>
      <c r="M97" s="159">
        <f t="shared" si="69"/>
        <v>9.5999999999999943</v>
      </c>
      <c r="N97" s="159">
        <f t="shared" si="69"/>
        <v>7.7000000000000028</v>
      </c>
      <c r="O97" s="159">
        <f t="shared" si="69"/>
        <v>11.200000000000003</v>
      </c>
      <c r="P97" s="159">
        <f t="shared" si="69"/>
        <v>13.700000000000003</v>
      </c>
      <c r="Q97" s="159">
        <f t="shared" si="69"/>
        <v>10.700000000000003</v>
      </c>
      <c r="R97" s="159">
        <f t="shared" si="69"/>
        <v>6.5</v>
      </c>
      <c r="S97" s="159">
        <f t="shared" si="69"/>
        <v>18.900000000000006</v>
      </c>
      <c r="T97" s="159">
        <f t="shared" si="69"/>
        <v>23.799999999999983</v>
      </c>
      <c r="U97" s="159">
        <f t="shared" si="69"/>
        <v>2.8000000000000114</v>
      </c>
      <c r="V97" s="159">
        <f t="shared" si="69"/>
        <v>24.099999999999994</v>
      </c>
      <c r="W97" s="159"/>
      <c r="X97" s="159"/>
      <c r="Y97" s="161"/>
      <c r="Z97" s="161"/>
      <c r="AA97" s="161"/>
      <c r="AB97" s="161"/>
      <c r="AC97" s="161"/>
      <c r="AD97" s="161"/>
      <c r="AE97" s="161"/>
      <c r="AF97" s="161"/>
      <c r="AG97" s="315"/>
      <c r="AH97" s="315"/>
      <c r="AI97" s="315"/>
    </row>
    <row r="98" spans="2:56" x14ac:dyDescent="0.5">
      <c r="B98" s="146" t="s">
        <v>1108</v>
      </c>
      <c r="C98" s="161"/>
      <c r="D98" s="161"/>
      <c r="E98" s="161"/>
      <c r="F98" s="161"/>
      <c r="G98" s="161"/>
      <c r="H98" s="161"/>
      <c r="I98" s="161"/>
      <c r="J98" s="161"/>
      <c r="K98" s="159">
        <f t="shared" ref="K98:V98" si="70">K55-J55</f>
        <v>3.0080000000000027</v>
      </c>
      <c r="L98" s="159">
        <f t="shared" si="70"/>
        <v>8.2110000000000021</v>
      </c>
      <c r="M98" s="159">
        <f t="shared" si="70"/>
        <v>8.9559999999999889</v>
      </c>
      <c r="N98" s="159">
        <f t="shared" si="70"/>
        <v>3.2440000000000069</v>
      </c>
      <c r="O98" s="159">
        <f t="shared" si="70"/>
        <v>6.5</v>
      </c>
      <c r="P98" s="159">
        <f t="shared" si="70"/>
        <v>7.7000000000000028</v>
      </c>
      <c r="Q98" s="159">
        <f t="shared" si="70"/>
        <v>6.4280000000000044</v>
      </c>
      <c r="R98" s="159">
        <f t="shared" si="70"/>
        <v>5.2719999999999985</v>
      </c>
      <c r="S98" s="159">
        <f t="shared" si="70"/>
        <v>12.199999999999996</v>
      </c>
      <c r="T98" s="159">
        <f t="shared" si="70"/>
        <v>14.899999999999977</v>
      </c>
      <c r="U98" s="159">
        <f t="shared" si="70"/>
        <v>-0.99999999999997158</v>
      </c>
      <c r="V98" s="159">
        <f t="shared" si="70"/>
        <v>28.699999999999989</v>
      </c>
      <c r="W98" s="159"/>
      <c r="X98" s="159"/>
      <c r="Y98" s="161"/>
      <c r="Z98" s="161"/>
      <c r="AA98" s="161"/>
      <c r="AB98" s="161"/>
      <c r="AC98" s="161"/>
      <c r="AD98" s="161"/>
      <c r="AE98" s="161"/>
      <c r="AF98" s="161"/>
      <c r="AG98" s="315"/>
      <c r="AH98" s="315"/>
      <c r="AI98" s="315"/>
    </row>
    <row r="99" spans="2:56" x14ac:dyDescent="0.5">
      <c r="B99" s="146" t="s">
        <v>1103</v>
      </c>
      <c r="K99" s="159">
        <f t="shared" ref="K99:V99" si="71">K79-J79</f>
        <v>2.5949999999999989</v>
      </c>
      <c r="L99" s="159">
        <f t="shared" si="71"/>
        <v>10.532999999999998</v>
      </c>
      <c r="M99" s="159">
        <f t="shared" si="71"/>
        <v>0.64400000000000546</v>
      </c>
      <c r="N99" s="159">
        <f t="shared" si="71"/>
        <v>4.455999999999996</v>
      </c>
      <c r="O99" s="159">
        <f t="shared" si="71"/>
        <v>4.7000000000000028</v>
      </c>
      <c r="P99" s="159">
        <f t="shared" si="71"/>
        <v>6</v>
      </c>
      <c r="Q99" s="159">
        <f t="shared" si="71"/>
        <v>4.2719999999999985</v>
      </c>
      <c r="R99" s="159">
        <f t="shared" si="71"/>
        <v>1.2280000000000015</v>
      </c>
      <c r="S99" s="159">
        <f t="shared" si="71"/>
        <v>6.7000000000000028</v>
      </c>
      <c r="T99" s="159">
        <f t="shared" si="71"/>
        <v>8.9000000000000128</v>
      </c>
      <c r="U99" s="159">
        <f t="shared" si="71"/>
        <v>3.7999999999999829</v>
      </c>
      <c r="V99" s="159">
        <f t="shared" si="71"/>
        <v>-4.5999999999999943</v>
      </c>
      <c r="W99" s="159"/>
      <c r="X99" s="159"/>
      <c r="AG99" s="316"/>
      <c r="AH99" s="316"/>
      <c r="AI99" s="316"/>
      <c r="AL99" s="149" t="s">
        <v>479</v>
      </c>
      <c r="AO99" s="149" t="str">
        <f t="shared" ref="AO99:BA99" si="72">K2</f>
        <v>Q1 21</v>
      </c>
      <c r="AP99" s="149" t="str">
        <f t="shared" si="72"/>
        <v>Q2 21</v>
      </c>
      <c r="AQ99" s="149" t="str">
        <f t="shared" si="72"/>
        <v>Q3 21</v>
      </c>
      <c r="AR99" s="149" t="str">
        <f t="shared" si="72"/>
        <v>Q4 21</v>
      </c>
      <c r="AS99" s="149" t="str">
        <f t="shared" si="72"/>
        <v>Q1 22</v>
      </c>
      <c r="AT99" s="149" t="str">
        <f t="shared" si="72"/>
        <v>Q2 22</v>
      </c>
      <c r="AU99" s="149" t="str">
        <f t="shared" si="72"/>
        <v>Q3 22</v>
      </c>
      <c r="AV99" s="149" t="str">
        <f t="shared" si="72"/>
        <v>Q4 22</v>
      </c>
      <c r="AW99" s="149" t="str">
        <f t="shared" si="72"/>
        <v>Q1 23</v>
      </c>
      <c r="AX99" s="149" t="str">
        <f t="shared" si="72"/>
        <v>Q2 23</v>
      </c>
      <c r="AY99" s="149" t="str">
        <f t="shared" si="72"/>
        <v>Q3 23</v>
      </c>
      <c r="AZ99" s="149" t="str">
        <f t="shared" si="72"/>
        <v>Q4 23</v>
      </c>
      <c r="BA99" s="149" t="str">
        <f t="shared" si="72"/>
        <v>Q1 24</v>
      </c>
      <c r="BB99" s="149" t="str">
        <f t="shared" ref="BB99:BD99" si="73">Y2</f>
        <v>Q2 24E</v>
      </c>
      <c r="BC99" s="149" t="str">
        <f t="shared" si="73"/>
        <v>Q3 24E</v>
      </c>
      <c r="BD99" s="149" t="str">
        <f t="shared" si="73"/>
        <v>Q4 24E</v>
      </c>
    </row>
    <row r="100" spans="2:56" x14ac:dyDescent="0.5">
      <c r="B100" s="146" t="s">
        <v>1104</v>
      </c>
      <c r="K100" s="147">
        <f t="shared" ref="K100:Q100" si="74">K99/K97</f>
        <v>0.46314474388720295</v>
      </c>
      <c r="L100" s="147">
        <f t="shared" si="74"/>
        <v>0.56193982074263749</v>
      </c>
      <c r="M100" s="147">
        <f t="shared" si="74"/>
        <v>6.7083333333333939E-2</v>
      </c>
      <c r="N100" s="147">
        <f t="shared" si="74"/>
        <v>0.57870129870129794</v>
      </c>
      <c r="O100" s="147">
        <f t="shared" si="74"/>
        <v>0.41964285714285732</v>
      </c>
      <c r="P100" s="147">
        <f t="shared" si="74"/>
        <v>0.43795620437956195</v>
      </c>
      <c r="Q100" s="147">
        <f t="shared" si="74"/>
        <v>0.39925233644859787</v>
      </c>
      <c r="R100" s="147">
        <f>R99/R97</f>
        <v>0.18892307692307717</v>
      </c>
      <c r="S100" s="147">
        <f>S99/S97</f>
        <v>0.35449735449735453</v>
      </c>
      <c r="T100" s="147">
        <f>T99/T97</f>
        <v>0.37394957983193355</v>
      </c>
      <c r="U100" s="147">
        <f>U99/U97</f>
        <v>1.3571428571428454</v>
      </c>
      <c r="V100" s="147">
        <f>V99/V97</f>
        <v>-0.19087136929460563</v>
      </c>
      <c r="W100" s="147"/>
      <c r="X100" s="147"/>
      <c r="AG100" s="316"/>
      <c r="AH100" s="316"/>
      <c r="AI100" s="316"/>
      <c r="AL100" s="147">
        <v>1.59</v>
      </c>
      <c r="AO100" s="147">
        <f t="shared" ref="AO100:BA100" si="75">K49</f>
        <v>1.86</v>
      </c>
      <c r="AP100" s="147">
        <f t="shared" si="75"/>
        <v>1.96</v>
      </c>
      <c r="AQ100" s="147">
        <f t="shared" si="75"/>
        <v>1.85</v>
      </c>
      <c r="AR100" s="147">
        <f t="shared" si="75"/>
        <v>1.98</v>
      </c>
      <c r="AS100" s="147">
        <f t="shared" si="75"/>
        <v>1.9</v>
      </c>
      <c r="AT100" s="147">
        <f t="shared" si="75"/>
        <v>1.57</v>
      </c>
      <c r="AU100" s="147">
        <f t="shared" si="75"/>
        <v>1.52</v>
      </c>
      <c r="AV100" s="147">
        <f t="shared" si="75"/>
        <v>1.46</v>
      </c>
      <c r="AW100" s="147">
        <f t="shared" si="75"/>
        <v>1.47</v>
      </c>
      <c r="AX100" s="147">
        <f t="shared" si="75"/>
        <v>1.48</v>
      </c>
      <c r="AY100" s="147">
        <f t="shared" si="75"/>
        <v>1.41</v>
      </c>
      <c r="AZ100" s="147">
        <f t="shared" si="75"/>
        <v>1.49</v>
      </c>
      <c r="BA100" s="147">
        <f t="shared" si="75"/>
        <v>1.29</v>
      </c>
    </row>
    <row r="101" spans="2:56" x14ac:dyDescent="0.5">
      <c r="N101" s="147"/>
      <c r="O101" s="147"/>
      <c r="P101" s="147"/>
      <c r="Q101" s="147"/>
      <c r="R101" s="147"/>
      <c r="S101" s="147"/>
      <c r="T101" s="147"/>
      <c r="U101" s="147"/>
      <c r="V101" s="147"/>
      <c r="W101" s="147"/>
      <c r="X101" s="147"/>
      <c r="AG101" s="316"/>
      <c r="AH101" s="316"/>
      <c r="AI101" s="316"/>
    </row>
    <row r="102" spans="2:56" x14ac:dyDescent="0.5">
      <c r="B102" s="146" t="s">
        <v>2025</v>
      </c>
      <c r="N102" s="298"/>
      <c r="O102" s="159"/>
      <c r="P102" s="159"/>
      <c r="R102" s="159"/>
      <c r="S102" s="395">
        <v>2.29</v>
      </c>
      <c r="T102" s="395">
        <v>2.64</v>
      </c>
      <c r="U102" s="395">
        <v>3.6960000000000002</v>
      </c>
      <c r="V102" s="395">
        <v>4.024</v>
      </c>
      <c r="W102" s="395">
        <v>5.4649999999999999</v>
      </c>
      <c r="X102" s="395"/>
      <c r="Y102" s="160">
        <f>W102*1.05</f>
        <v>5.7382499999999999</v>
      </c>
      <c r="Z102" s="160">
        <f t="shared" ref="Z102:AB103" si="76">Y102*1.05</f>
        <v>6.0251625000000004</v>
      </c>
      <c r="AA102" s="160">
        <f t="shared" si="76"/>
        <v>6.3264206250000008</v>
      </c>
      <c r="AB102" s="160">
        <f t="shared" si="76"/>
        <v>6.642741656250001</v>
      </c>
      <c r="AC102" s="160">
        <f t="shared" ref="AC102:AE102" si="77">AB102*1.05</f>
        <v>6.9748787390625013</v>
      </c>
      <c r="AD102" s="160">
        <f t="shared" si="77"/>
        <v>7.3236226760156269</v>
      </c>
      <c r="AE102" s="160">
        <f t="shared" si="77"/>
        <v>7.689803809816409</v>
      </c>
      <c r="AF102" s="159"/>
      <c r="AG102" s="306"/>
      <c r="AH102" s="306"/>
      <c r="AI102" s="306"/>
    </row>
    <row r="103" spans="2:56" x14ac:dyDescent="0.5">
      <c r="B103" s="146" t="s">
        <v>133</v>
      </c>
      <c r="M103" s="147"/>
      <c r="O103" s="147"/>
      <c r="P103" s="147"/>
      <c r="Q103" s="147"/>
      <c r="R103" s="147"/>
      <c r="S103" s="395">
        <v>4.8570000000000002</v>
      </c>
      <c r="T103" s="395">
        <v>3.1059999999999999</v>
      </c>
      <c r="U103" s="395">
        <v>4.4470000000000001</v>
      </c>
      <c r="V103" s="395">
        <v>4.71</v>
      </c>
      <c r="W103" s="395">
        <v>4.6310000000000002</v>
      </c>
      <c r="X103" s="395"/>
      <c r="Y103" s="160">
        <f>W103*1.05</f>
        <v>4.8625500000000006</v>
      </c>
      <c r="Z103" s="160">
        <f t="shared" si="76"/>
        <v>5.1056775000000005</v>
      </c>
      <c r="AA103" s="160">
        <f t="shared" si="76"/>
        <v>5.3609613750000005</v>
      </c>
      <c r="AB103" s="160">
        <f t="shared" si="76"/>
        <v>5.6290094437500011</v>
      </c>
      <c r="AC103" s="160">
        <f t="shared" ref="AC103:AE103" si="78">AB103*1.05</f>
        <v>5.9104599159375013</v>
      </c>
      <c r="AD103" s="160">
        <f t="shared" si="78"/>
        <v>6.2059829117343766</v>
      </c>
      <c r="AE103" s="160">
        <f t="shared" si="78"/>
        <v>6.5162820573210958</v>
      </c>
      <c r="AF103" s="147"/>
      <c r="AG103" s="301"/>
      <c r="AH103" s="301"/>
      <c r="AI103" s="301"/>
    </row>
    <row r="104" spans="2:56" x14ac:dyDescent="0.5">
      <c r="B104" s="146" t="s">
        <v>134</v>
      </c>
      <c r="M104" s="147"/>
      <c r="O104" s="147"/>
      <c r="P104" s="147"/>
      <c r="Q104" s="147"/>
      <c r="R104" s="147"/>
      <c r="S104" s="395">
        <v>15.282</v>
      </c>
      <c r="T104" s="395">
        <v>17.268000000000001</v>
      </c>
      <c r="U104" s="395">
        <v>17.378</v>
      </c>
      <c r="V104" s="395">
        <v>20.640999999999998</v>
      </c>
      <c r="W104" s="395">
        <v>24.332000000000001</v>
      </c>
      <c r="X104" s="395"/>
      <c r="Y104" s="159">
        <f>Y106-Y103-Y102-Y105</f>
        <v>19.8992</v>
      </c>
      <c r="Z104" s="159">
        <f t="shared" ref="Z104:AE104" si="79">Z106-Z103-Z102-Z105</f>
        <v>18.369160000000001</v>
      </c>
      <c r="AA104" s="159">
        <f t="shared" si="79"/>
        <v>11.739949344676806</v>
      </c>
      <c r="AB104" s="159">
        <f t="shared" si="79"/>
        <v>17.228248899999997</v>
      </c>
      <c r="AC104" s="159">
        <f t="shared" si="79"/>
        <v>17.614661344999998</v>
      </c>
      <c r="AD104" s="159">
        <f t="shared" si="79"/>
        <v>16.470394412249995</v>
      </c>
      <c r="AE104" s="159">
        <f t="shared" si="79"/>
        <v>24.217142822862527</v>
      </c>
      <c r="AF104" s="147"/>
      <c r="AG104" s="301"/>
      <c r="AH104" s="301"/>
      <c r="AI104" s="301"/>
    </row>
    <row r="105" spans="2:56" x14ac:dyDescent="0.5">
      <c r="B105" s="168" t="s">
        <v>2026</v>
      </c>
      <c r="C105" s="168"/>
      <c r="D105" s="168"/>
      <c r="E105" s="168"/>
      <c r="F105" s="168"/>
      <c r="G105" s="168"/>
      <c r="H105" s="168"/>
      <c r="I105" s="168"/>
      <c r="J105" s="168"/>
      <c r="K105" s="168"/>
      <c r="L105" s="168"/>
      <c r="M105" s="217"/>
      <c r="N105" s="217"/>
      <c r="O105" s="217"/>
      <c r="P105" s="217"/>
      <c r="Q105" s="217"/>
      <c r="R105" s="217"/>
      <c r="S105" s="396">
        <v>5.0999999999999997E-2</v>
      </c>
      <c r="T105" s="396">
        <v>2.1000000000000001E-2</v>
      </c>
      <c r="U105" s="396">
        <v>-2.508</v>
      </c>
      <c r="V105" s="396">
        <v>-0.65700000000000003</v>
      </c>
      <c r="W105" s="396">
        <f>1.819-0.177</f>
        <v>1.6419999999999999</v>
      </c>
      <c r="X105" s="396"/>
      <c r="Y105" s="217">
        <v>0</v>
      </c>
      <c r="Z105" s="217">
        <v>0</v>
      </c>
      <c r="AA105" s="217">
        <v>0</v>
      </c>
      <c r="AB105" s="278">
        <v>0</v>
      </c>
      <c r="AC105" s="278">
        <v>0</v>
      </c>
      <c r="AD105" s="278">
        <v>0</v>
      </c>
      <c r="AE105" s="278">
        <v>0</v>
      </c>
      <c r="AF105" s="278"/>
      <c r="AG105" s="309"/>
      <c r="AH105" s="309"/>
      <c r="AI105" s="307"/>
    </row>
    <row r="106" spans="2:56" x14ac:dyDescent="0.5">
      <c r="B106" s="146" t="s">
        <v>2027</v>
      </c>
      <c r="M106" s="159"/>
      <c r="N106" s="159"/>
      <c r="O106" s="159"/>
      <c r="P106" s="159"/>
      <c r="Q106" s="159"/>
      <c r="R106" s="159"/>
      <c r="S106" s="395">
        <f>SUM(S102:S105)</f>
        <v>22.48</v>
      </c>
      <c r="T106" s="395">
        <f>SUM(T102:T105)</f>
        <v>23.035000000000004</v>
      </c>
      <c r="U106" s="395">
        <f>SUM(U102:U105)</f>
        <v>23.013000000000002</v>
      </c>
      <c r="V106" s="395">
        <f>SUM(V102:V105)</f>
        <v>28.718</v>
      </c>
      <c r="W106" s="395">
        <f>SUM(W102:W105)</f>
        <v>36.07</v>
      </c>
      <c r="X106" s="395"/>
      <c r="Y106" s="395">
        <f>Y121+Y119</f>
        <v>30.5</v>
      </c>
      <c r="Z106" s="395">
        <f>Z121+Z119</f>
        <v>29.5</v>
      </c>
      <c r="AA106" s="395">
        <f>AA121+AA119</f>
        <v>23.427331344676809</v>
      </c>
      <c r="AB106" s="395">
        <f t="shared" ref="AB106:AE106" si="80">AB121+AB119</f>
        <v>29.5</v>
      </c>
      <c r="AC106" s="395">
        <f t="shared" si="80"/>
        <v>30.5</v>
      </c>
      <c r="AD106" s="395">
        <f t="shared" si="80"/>
        <v>30</v>
      </c>
      <c r="AE106" s="395">
        <f t="shared" si="80"/>
        <v>38.42322869000003</v>
      </c>
      <c r="AF106" s="160"/>
      <c r="AG106" s="307"/>
      <c r="AH106" s="307"/>
      <c r="AI106" s="307"/>
    </row>
    <row r="107" spans="2:56" x14ac:dyDescent="0.5">
      <c r="M107" s="159"/>
      <c r="N107" s="159"/>
      <c r="O107" s="159"/>
      <c r="P107" s="159"/>
      <c r="Q107" s="159"/>
      <c r="R107" s="159"/>
      <c r="S107" s="159"/>
      <c r="T107" s="159"/>
      <c r="U107" s="159"/>
      <c r="V107" s="159"/>
      <c r="W107" s="159"/>
      <c r="X107" s="159"/>
      <c r="Y107" s="159"/>
      <c r="Z107" s="159"/>
      <c r="AA107" s="159"/>
      <c r="AB107" s="160"/>
      <c r="AC107" s="160"/>
      <c r="AD107" s="160"/>
      <c r="AE107" s="160"/>
      <c r="AF107" s="160"/>
      <c r="AG107" s="307"/>
      <c r="AH107" s="307"/>
      <c r="AI107" s="307"/>
    </row>
    <row r="108" spans="2:56" x14ac:dyDescent="0.5">
      <c r="B108" s="154" t="s">
        <v>107</v>
      </c>
      <c r="C108" s="157">
        <v>0.57999999999999996</v>
      </c>
      <c r="D108" s="157">
        <v>5.8739999999999997</v>
      </c>
      <c r="E108" s="157">
        <v>6.8259999999999996</v>
      </c>
      <c r="F108" s="157">
        <v>4.2839999999999998</v>
      </c>
      <c r="G108" s="157">
        <v>1.323</v>
      </c>
      <c r="H108" s="157">
        <v>7.8259999999999996</v>
      </c>
      <c r="I108" s="157">
        <v>9.34</v>
      </c>
      <c r="J108" s="157">
        <v>12.456</v>
      </c>
      <c r="K108" s="157">
        <f>K124-K111-K112-K113-K114-K116-K117-K118</f>
        <v>18.739000000000001</v>
      </c>
      <c r="L108" s="157">
        <f>L124-L111-L112-L113-L114-L116-L117-L118</f>
        <v>18.881999999999998</v>
      </c>
      <c r="M108" s="157">
        <v>21.568999999999999</v>
      </c>
      <c r="N108" s="157">
        <v>24.565999999999999</v>
      </c>
      <c r="O108" s="157">
        <f>O124-SUM(O111:O118)</f>
        <v>29.053999999999998</v>
      </c>
      <c r="P108" s="157">
        <v>35.091999999999999</v>
      </c>
      <c r="Q108" s="157">
        <v>37.231000000000002</v>
      </c>
      <c r="R108" s="157">
        <v>26.501999999999999</v>
      </c>
      <c r="S108" s="157">
        <v>39.359000000000002</v>
      </c>
      <c r="T108" s="157">
        <v>47.56</v>
      </c>
      <c r="U108" s="157">
        <v>51.53</v>
      </c>
      <c r="V108" s="157">
        <v>41</v>
      </c>
      <c r="W108" s="157">
        <v>26.901</v>
      </c>
      <c r="X108" s="157"/>
      <c r="Y108" s="157">
        <f>Y124-SUM(Y111:Y118)</f>
        <v>34.86</v>
      </c>
      <c r="Z108" s="157">
        <f>Z124-SUM(Z111:Z118)</f>
        <v>44.8</v>
      </c>
      <c r="AA108" s="157">
        <f>AA124-SUM(AA111:AA118)</f>
        <v>61.501418883460097</v>
      </c>
      <c r="AB108" s="157">
        <f t="shared" ref="AB108:AE108" si="81">AB124-SUM(AB111:AB118)</f>
        <v>51.359999999999985</v>
      </c>
      <c r="AC108" s="157">
        <f t="shared" si="81"/>
        <v>59.63000000000001</v>
      </c>
      <c r="AD108" s="157">
        <f t="shared" si="81"/>
        <v>64.77000000000001</v>
      </c>
      <c r="AE108" s="157">
        <f t="shared" si="81"/>
        <v>73.532149809999964</v>
      </c>
      <c r="AF108" s="157"/>
      <c r="AG108" s="317"/>
      <c r="AH108" s="317"/>
      <c r="AI108" s="317"/>
    </row>
    <row r="109" spans="2:56" x14ac:dyDescent="0.5">
      <c r="B109" s="146" t="s">
        <v>106</v>
      </c>
      <c r="C109" s="157"/>
      <c r="D109" s="157"/>
      <c r="E109" s="157"/>
      <c r="F109" s="157"/>
      <c r="G109" s="161">
        <f t="shared" ref="G109:AA109" si="82">G108/G35</f>
        <v>7.352042233953876E-2</v>
      </c>
      <c r="H109" s="161">
        <f t="shared" si="82"/>
        <v>0.37907483652216034</v>
      </c>
      <c r="I109" s="161">
        <f t="shared" si="82"/>
        <v>0.30275526742301456</v>
      </c>
      <c r="J109" s="161">
        <f t="shared" si="82"/>
        <v>0.35944939832049172</v>
      </c>
      <c r="K109" s="161">
        <f t="shared" si="82"/>
        <v>0.46549582670906203</v>
      </c>
      <c r="L109" s="161">
        <f t="shared" si="82"/>
        <v>0.32003389830508472</v>
      </c>
      <c r="M109" s="161">
        <f t="shared" si="82"/>
        <v>0.31441690962099128</v>
      </c>
      <c r="N109" s="161">
        <f t="shared" si="82"/>
        <v>0.3219659239842726</v>
      </c>
      <c r="O109" s="161">
        <f t="shared" si="82"/>
        <v>0.33204571428571428</v>
      </c>
      <c r="P109" s="161">
        <f t="shared" si="82"/>
        <v>0.34675889328063236</v>
      </c>
      <c r="Q109" s="161">
        <f t="shared" si="82"/>
        <v>0.3327167113494191</v>
      </c>
      <c r="R109" s="161">
        <f t="shared" si="82"/>
        <v>0.22383445945945943</v>
      </c>
      <c r="S109" s="161">
        <f t="shared" si="82"/>
        <v>0.28666423889293519</v>
      </c>
      <c r="T109" s="161">
        <f t="shared" si="82"/>
        <v>0.29522036002482932</v>
      </c>
      <c r="U109" s="161">
        <f t="shared" si="82"/>
        <v>0.31439902379499696</v>
      </c>
      <c r="V109" s="161">
        <f t="shared" si="82"/>
        <v>0.21808510638297873</v>
      </c>
      <c r="W109" s="161">
        <f t="shared" si="82"/>
        <v>0.14588394793926246</v>
      </c>
      <c r="X109" s="161"/>
      <c r="Y109" s="161">
        <f t="shared" si="82"/>
        <v>0.19474860335195529</v>
      </c>
      <c r="Z109" s="161">
        <f t="shared" si="82"/>
        <v>0.22068965517241379</v>
      </c>
      <c r="AA109" s="161">
        <f t="shared" si="82"/>
        <v>0.26923091860378928</v>
      </c>
      <c r="AB109" s="161">
        <f t="shared" ref="AB109:AE109" si="83">AB108/AB35</f>
        <v>0.23031390134529142</v>
      </c>
      <c r="AC109" s="161">
        <f t="shared" si="83"/>
        <v>0.250546218487395</v>
      </c>
      <c r="AD109" s="161">
        <f t="shared" si="83"/>
        <v>0.25804780876494027</v>
      </c>
      <c r="AE109" s="161">
        <f t="shared" si="83"/>
        <v>0.25609144008130036</v>
      </c>
      <c r="AF109" s="161"/>
      <c r="AG109" s="315"/>
      <c r="AH109" s="315"/>
      <c r="AI109" s="315"/>
    </row>
    <row r="110" spans="2:56" x14ac:dyDescent="0.5">
      <c r="B110" s="154"/>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317"/>
      <c r="AH110" s="317"/>
      <c r="AI110" s="317"/>
    </row>
    <row r="111" spans="2:56" x14ac:dyDescent="0.5">
      <c r="B111" s="146" t="s">
        <v>108</v>
      </c>
      <c r="G111" s="159">
        <v>0.126</v>
      </c>
      <c r="H111" s="159">
        <v>0.33600000000000002</v>
      </c>
      <c r="I111" s="159">
        <v>0.93200000000000005</v>
      </c>
      <c r="J111" s="159">
        <v>0.248</v>
      </c>
      <c r="K111" s="159">
        <v>0.51500000000000001</v>
      </c>
      <c r="L111" s="159">
        <v>1.3</v>
      </c>
      <c r="M111" s="159">
        <v>1.381</v>
      </c>
      <c r="N111" s="159">
        <v>1.5069999999999999</v>
      </c>
      <c r="O111" s="159">
        <v>1.7230000000000001</v>
      </c>
      <c r="P111" s="159">
        <v>1.857</v>
      </c>
      <c r="Q111" s="159">
        <v>2.11</v>
      </c>
      <c r="R111" s="159">
        <v>2.4569999999999999</v>
      </c>
      <c r="S111" s="159">
        <v>2.5150000000000001</v>
      </c>
      <c r="T111" s="159">
        <v>2.8690000000000002</v>
      </c>
      <c r="U111" s="159">
        <v>3.2370000000000001</v>
      </c>
      <c r="V111" s="159">
        <v>3.5</v>
      </c>
      <c r="W111" s="159">
        <v>3.762</v>
      </c>
      <c r="X111" s="159"/>
      <c r="Y111" s="160">
        <v>4</v>
      </c>
      <c r="Z111" s="160">
        <v>4</v>
      </c>
      <c r="AA111" s="159">
        <f>Master!I215-W111-Y111-Z111</f>
        <v>2.6174375114068464</v>
      </c>
      <c r="AB111" s="160">
        <v>4</v>
      </c>
      <c r="AC111" s="160">
        <v>5</v>
      </c>
      <c r="AD111" s="160">
        <v>5</v>
      </c>
      <c r="AE111" s="159">
        <f>Master!J215-AB111-AC111-AD111</f>
        <v>4.8857689250000043</v>
      </c>
      <c r="AF111" s="159"/>
      <c r="AG111" s="306"/>
      <c r="AH111" s="306"/>
      <c r="AI111" s="306"/>
    </row>
    <row r="112" spans="2:56" x14ac:dyDescent="0.5">
      <c r="B112" s="146" t="s">
        <v>114</v>
      </c>
      <c r="G112" s="159">
        <v>0.94299999999999995</v>
      </c>
      <c r="H112" s="159">
        <v>0</v>
      </c>
      <c r="I112" s="159">
        <v>0</v>
      </c>
      <c r="J112" s="159">
        <v>0</v>
      </c>
      <c r="K112" s="159">
        <v>5.3999999999999999E-2</v>
      </c>
      <c r="L112" s="159">
        <v>0.1</v>
      </c>
      <c r="M112" s="159">
        <v>0</v>
      </c>
      <c r="N112" s="159">
        <v>0</v>
      </c>
      <c r="O112" s="159">
        <v>0</v>
      </c>
      <c r="P112" s="159">
        <v>7.0000000000000001E-3</v>
      </c>
      <c r="Q112" s="159">
        <v>0</v>
      </c>
      <c r="R112" s="159">
        <v>5.64</v>
      </c>
      <c r="S112" s="159">
        <v>5.0999999999999997E-2</v>
      </c>
      <c r="T112" s="159">
        <v>0.21</v>
      </c>
      <c r="U112" s="159">
        <v>2.508</v>
      </c>
      <c r="V112" s="159">
        <v>2.8</v>
      </c>
      <c r="W112" s="159">
        <v>0.17699999999999999</v>
      </c>
      <c r="X112" s="159"/>
      <c r="Y112" s="160"/>
      <c r="Z112" s="160"/>
      <c r="AA112" s="159"/>
      <c r="AB112" s="159"/>
      <c r="AC112" s="159"/>
      <c r="AD112" s="159"/>
      <c r="AE112" s="159"/>
      <c r="AF112" s="159"/>
      <c r="AG112" s="306"/>
      <c r="AH112" s="306"/>
      <c r="AI112" s="306"/>
    </row>
    <row r="113" spans="2:56" x14ac:dyDescent="0.5">
      <c r="B113" s="146" t="s">
        <v>480</v>
      </c>
      <c r="G113" s="159">
        <v>0</v>
      </c>
      <c r="H113" s="159">
        <v>0</v>
      </c>
      <c r="I113" s="159">
        <v>0</v>
      </c>
      <c r="J113" s="159">
        <v>0</v>
      </c>
      <c r="K113" s="159">
        <f>3.7-L113</f>
        <v>0.70000000000000018</v>
      </c>
      <c r="L113" s="159">
        <v>3</v>
      </c>
      <c r="M113" s="159">
        <v>0</v>
      </c>
      <c r="N113" s="159">
        <v>0</v>
      </c>
      <c r="O113" s="159">
        <v>0</v>
      </c>
      <c r="P113" s="159">
        <v>0</v>
      </c>
      <c r="Q113" s="159">
        <v>0</v>
      </c>
      <c r="R113" s="159">
        <v>0</v>
      </c>
      <c r="S113" s="159">
        <v>0</v>
      </c>
      <c r="T113" s="159">
        <v>0</v>
      </c>
      <c r="U113" s="159">
        <v>0</v>
      </c>
      <c r="V113" s="159">
        <v>0</v>
      </c>
      <c r="W113" s="159">
        <v>0</v>
      </c>
      <c r="X113" s="159"/>
      <c r="Y113" s="160"/>
      <c r="Z113" s="160"/>
      <c r="AA113" s="159"/>
      <c r="AB113" s="159"/>
      <c r="AC113" s="159"/>
      <c r="AD113" s="159"/>
      <c r="AE113" s="159"/>
      <c r="AF113" s="159"/>
      <c r="AG113" s="306"/>
      <c r="AH113" s="306"/>
      <c r="AI113" s="306"/>
    </row>
    <row r="114" spans="2:56" x14ac:dyDescent="0.5">
      <c r="B114" s="146" t="s">
        <v>481</v>
      </c>
      <c r="G114" s="159">
        <v>0</v>
      </c>
      <c r="H114" s="159">
        <v>0</v>
      </c>
      <c r="I114" s="159">
        <v>0</v>
      </c>
      <c r="J114" s="159">
        <v>0</v>
      </c>
      <c r="K114" s="159">
        <f>0.454-L114</f>
        <v>0.11399999999999999</v>
      </c>
      <c r="L114" s="159">
        <v>0.34</v>
      </c>
      <c r="M114" s="159">
        <v>0</v>
      </c>
      <c r="N114" s="159">
        <v>0</v>
      </c>
      <c r="O114" s="159">
        <v>0</v>
      </c>
      <c r="P114" s="159">
        <v>0</v>
      </c>
      <c r="Q114" s="159">
        <v>0</v>
      </c>
      <c r="R114" s="159">
        <v>0</v>
      </c>
      <c r="S114" s="159">
        <v>0</v>
      </c>
      <c r="T114" s="159">
        <v>0</v>
      </c>
      <c r="U114" s="159">
        <v>0</v>
      </c>
      <c r="V114" s="159">
        <v>0</v>
      </c>
      <c r="W114" s="159">
        <v>0</v>
      </c>
      <c r="X114" s="159"/>
      <c r="Y114" s="160"/>
      <c r="Z114" s="160"/>
      <c r="AA114" s="159"/>
      <c r="AB114" s="159"/>
      <c r="AC114" s="159"/>
      <c r="AD114" s="159"/>
      <c r="AE114" s="159"/>
      <c r="AF114" s="159"/>
      <c r="AG114" s="306"/>
      <c r="AH114" s="306"/>
      <c r="AI114" s="306"/>
    </row>
    <row r="115" spans="2:56" x14ac:dyDescent="0.5">
      <c r="B115" s="146" t="s">
        <v>558</v>
      </c>
      <c r="G115" s="159">
        <v>0</v>
      </c>
      <c r="H115" s="159">
        <v>0</v>
      </c>
      <c r="I115" s="159">
        <v>0</v>
      </c>
      <c r="J115" s="159">
        <v>0.45300000000000001</v>
      </c>
      <c r="K115" s="159">
        <v>0</v>
      </c>
      <c r="L115" s="159">
        <v>0</v>
      </c>
      <c r="M115" s="159">
        <v>0.69499999999999995</v>
      </c>
      <c r="N115" s="159">
        <v>0.71599999999999997</v>
      </c>
      <c r="O115" s="159">
        <v>8.8999999999999996E-2</v>
      </c>
      <c r="P115" s="159">
        <v>0</v>
      </c>
      <c r="Q115" s="159">
        <v>0</v>
      </c>
      <c r="R115" s="159">
        <v>0</v>
      </c>
      <c r="S115" s="159">
        <v>0</v>
      </c>
      <c r="T115" s="159">
        <v>0</v>
      </c>
      <c r="U115" s="159">
        <v>0</v>
      </c>
      <c r="V115" s="159">
        <v>0</v>
      </c>
      <c r="W115" s="159">
        <v>0</v>
      </c>
      <c r="X115" s="159"/>
      <c r="Y115" s="160"/>
      <c r="Z115" s="160"/>
      <c r="AA115" s="159"/>
      <c r="AB115" s="159"/>
      <c r="AC115" s="159"/>
      <c r="AD115" s="159"/>
      <c r="AE115" s="159"/>
      <c r="AF115" s="159"/>
      <c r="AG115" s="306"/>
      <c r="AH115" s="306"/>
      <c r="AI115" s="306"/>
    </row>
    <row r="116" spans="2:56" x14ac:dyDescent="0.5">
      <c r="B116" s="146" t="s">
        <v>115</v>
      </c>
      <c r="G116" s="159">
        <v>-8.3000000000000004E-2</v>
      </c>
      <c r="H116" s="159">
        <v>0</v>
      </c>
      <c r="I116" s="159">
        <f>-1.181-G116-H116</f>
        <v>-1.0980000000000001</v>
      </c>
      <c r="J116" s="159">
        <v>0.3</v>
      </c>
      <c r="K116" s="159">
        <f>-2.9+0.311-L116</f>
        <v>-2.367</v>
      </c>
      <c r="L116" s="159">
        <v>-0.222</v>
      </c>
      <c r="M116" s="159">
        <v>0</v>
      </c>
      <c r="N116" s="159">
        <v>0</v>
      </c>
      <c r="O116" s="159">
        <v>0</v>
      </c>
      <c r="P116" s="159">
        <v>-0.68799999999999994</v>
      </c>
      <c r="Q116" s="159">
        <v>1.7999999999999999E-2</v>
      </c>
      <c r="R116" s="159">
        <v>0</v>
      </c>
      <c r="S116" s="159">
        <v>0</v>
      </c>
      <c r="T116" s="159">
        <v>0</v>
      </c>
      <c r="U116" s="159">
        <v>0</v>
      </c>
      <c r="V116" s="159">
        <v>0</v>
      </c>
      <c r="W116" s="159">
        <v>0</v>
      </c>
      <c r="X116" s="159"/>
      <c r="Y116" s="160"/>
      <c r="Z116" s="160"/>
      <c r="AA116" s="159"/>
      <c r="AB116" s="159"/>
      <c r="AC116" s="159"/>
      <c r="AD116" s="159"/>
      <c r="AE116" s="159"/>
      <c r="AF116" s="159"/>
      <c r="AG116" s="306"/>
      <c r="AH116" s="306"/>
      <c r="AI116" s="306"/>
    </row>
    <row r="117" spans="2:56" x14ac:dyDescent="0.5">
      <c r="B117" s="146" t="s">
        <v>113</v>
      </c>
      <c r="G117" s="159">
        <v>6.9029999999999996</v>
      </c>
      <c r="H117" s="159">
        <v>0.03</v>
      </c>
      <c r="I117" s="159">
        <f>7.039-G117-H117</f>
        <v>0.10600000000000012</v>
      </c>
      <c r="J117" s="159">
        <v>0.25600000000000001</v>
      </c>
      <c r="K117" s="159">
        <v>0.56499999999999995</v>
      </c>
      <c r="L117" s="159">
        <v>2.1</v>
      </c>
      <c r="M117" s="159">
        <v>2.673</v>
      </c>
      <c r="N117" s="159">
        <v>2.2360000000000002</v>
      </c>
      <c r="O117" s="159">
        <v>2.0339999999999998</v>
      </c>
      <c r="P117" s="159">
        <v>1.2410000000000001</v>
      </c>
      <c r="Q117" s="159">
        <v>1.599</v>
      </c>
      <c r="R117" s="159">
        <v>3.81</v>
      </c>
      <c r="S117" s="159">
        <v>2.3290000000000002</v>
      </c>
      <c r="T117" s="159">
        <v>1.421</v>
      </c>
      <c r="U117" s="159">
        <v>3.3220000000000001</v>
      </c>
      <c r="V117" s="159">
        <v>0</v>
      </c>
      <c r="W117" s="159">
        <v>0</v>
      </c>
      <c r="X117" s="159"/>
      <c r="Y117" s="160">
        <v>2</v>
      </c>
      <c r="Z117" s="160">
        <v>2</v>
      </c>
      <c r="AA117" s="159">
        <f>Master!I214-W117-Y117-Z117</f>
        <v>2</v>
      </c>
      <c r="AB117" s="160">
        <v>1</v>
      </c>
      <c r="AC117" s="160">
        <v>1</v>
      </c>
      <c r="AD117" s="160">
        <v>1</v>
      </c>
      <c r="AE117" s="159">
        <f>Master!J214-AB117-AC117-AD117</f>
        <v>2</v>
      </c>
      <c r="AF117" s="159"/>
      <c r="AG117" s="306"/>
      <c r="AH117" s="306"/>
      <c r="AI117" s="306"/>
    </row>
    <row r="118" spans="2:56" x14ac:dyDescent="0.5">
      <c r="B118" s="168" t="s">
        <v>63</v>
      </c>
      <c r="C118" s="168"/>
      <c r="D118" s="168"/>
      <c r="E118" s="168"/>
      <c r="F118" s="168"/>
      <c r="G118" s="394"/>
      <c r="H118" s="168"/>
      <c r="I118" s="168"/>
      <c r="J118" s="168"/>
      <c r="K118" s="217">
        <f>-K139</f>
        <v>-0.47899999999999998</v>
      </c>
      <c r="L118" s="217">
        <f>-L139</f>
        <v>0.4</v>
      </c>
      <c r="M118" s="217">
        <f>M124-M108-SUM(M111:M117)</f>
        <v>-1.7999999999998906E-2</v>
      </c>
      <c r="N118" s="217">
        <v>0</v>
      </c>
      <c r="O118" s="217">
        <v>0</v>
      </c>
      <c r="P118" s="217">
        <f t="shared" ref="P118:W118" si="84">P124-P108-SUM(P111:P117)</f>
        <v>0.69100000000000428</v>
      </c>
      <c r="Q118" s="217">
        <f t="shared" si="84"/>
        <v>0.64200000000000035</v>
      </c>
      <c r="R118" s="217">
        <f t="shared" si="84"/>
        <v>1.9909999999999997</v>
      </c>
      <c r="S118" s="217">
        <f t="shared" si="84"/>
        <v>1.2459999999999978</v>
      </c>
      <c r="T118" s="217">
        <f t="shared" si="84"/>
        <v>-6.0000000000002274E-2</v>
      </c>
      <c r="U118" s="217">
        <f t="shared" si="84"/>
        <v>-4.9969999999999999</v>
      </c>
      <c r="V118" s="217">
        <f t="shared" si="84"/>
        <v>1.900000000000003</v>
      </c>
      <c r="W118" s="217">
        <f t="shared" si="84"/>
        <v>5.9599999999999973</v>
      </c>
      <c r="X118" s="217"/>
      <c r="Y118" s="278">
        <v>0.5</v>
      </c>
      <c r="Z118" s="278">
        <v>0.5</v>
      </c>
      <c r="AA118" s="217">
        <f>Master!I219-W118-Y118-Z118</f>
        <v>4.00000000000027E-2</v>
      </c>
      <c r="AB118" s="278">
        <v>0.5</v>
      </c>
      <c r="AC118" s="278">
        <v>0.5</v>
      </c>
      <c r="AD118" s="278">
        <v>0</v>
      </c>
      <c r="AE118" s="217">
        <f>Master!J219-AB118-AC118-AD118</f>
        <v>0.5</v>
      </c>
      <c r="AF118" s="217"/>
      <c r="AG118" s="308"/>
      <c r="AH118" s="308"/>
      <c r="AI118" s="306"/>
    </row>
    <row r="119" spans="2:56" x14ac:dyDescent="0.5">
      <c r="B119" s="146" t="s">
        <v>2028</v>
      </c>
      <c r="M119" s="159"/>
      <c r="N119" s="159"/>
      <c r="O119" s="159"/>
      <c r="P119" s="159"/>
      <c r="Q119" s="159"/>
      <c r="R119" s="159"/>
      <c r="S119" s="159">
        <f t="shared" ref="S119:AA119" si="85">SUM(S111:S118)</f>
        <v>6.1409999999999982</v>
      </c>
      <c r="T119" s="159">
        <f t="shared" si="85"/>
        <v>4.4399999999999977</v>
      </c>
      <c r="U119" s="159">
        <f t="shared" si="85"/>
        <v>4.07</v>
      </c>
      <c r="V119" s="159">
        <f t="shared" si="85"/>
        <v>8.2000000000000028</v>
      </c>
      <c r="W119" s="159">
        <f t="shared" si="85"/>
        <v>9.8989999999999974</v>
      </c>
      <c r="X119" s="159"/>
      <c r="Y119" s="159">
        <f t="shared" si="85"/>
        <v>6.5</v>
      </c>
      <c r="Z119" s="159">
        <f t="shared" si="85"/>
        <v>6.5</v>
      </c>
      <c r="AA119" s="159">
        <f t="shared" si="85"/>
        <v>4.6574375114068491</v>
      </c>
      <c r="AB119" s="159">
        <f t="shared" ref="AB119:AE119" si="86">SUM(AB111:AB118)</f>
        <v>5.5</v>
      </c>
      <c r="AC119" s="159">
        <f t="shared" si="86"/>
        <v>6.5</v>
      </c>
      <c r="AD119" s="159">
        <f t="shared" si="86"/>
        <v>6</v>
      </c>
      <c r="AE119" s="159">
        <f t="shared" si="86"/>
        <v>7.3857689250000043</v>
      </c>
      <c r="AF119" s="160"/>
      <c r="AG119" s="307"/>
      <c r="AH119" s="307"/>
      <c r="AI119" s="307"/>
    </row>
    <row r="120" spans="2:56" x14ac:dyDescent="0.5">
      <c r="M120" s="159"/>
      <c r="N120" s="159"/>
      <c r="O120" s="159"/>
      <c r="P120" s="159"/>
      <c r="Q120" s="159"/>
      <c r="R120" s="159"/>
      <c r="S120" s="159"/>
      <c r="T120" s="159"/>
      <c r="U120" s="159"/>
      <c r="V120" s="159"/>
      <c r="W120" s="159"/>
      <c r="X120" s="159"/>
      <c r="Y120" s="159"/>
      <c r="Z120" s="159"/>
      <c r="AA120" s="159"/>
      <c r="AB120" s="160"/>
      <c r="AC120" s="160"/>
      <c r="AD120" s="160"/>
      <c r="AE120" s="160"/>
      <c r="AF120" s="160"/>
      <c r="AG120" s="307"/>
      <c r="AH120" s="307"/>
      <c r="AI120" s="307"/>
    </row>
    <row r="121" spans="2:56" x14ac:dyDescent="0.5">
      <c r="B121" s="146" t="s">
        <v>2029</v>
      </c>
      <c r="G121" s="159">
        <f>G79-G124</f>
        <v>3.5690000000000008</v>
      </c>
      <c r="K121" s="159">
        <f t="shared" ref="K121:W121" si="87">K79-K124</f>
        <v>5.4259999999999984</v>
      </c>
      <c r="L121" s="159">
        <f t="shared" si="87"/>
        <v>7.8999999999999986</v>
      </c>
      <c r="M121" s="159">
        <f t="shared" si="87"/>
        <v>8.1440000000000019</v>
      </c>
      <c r="N121" s="159">
        <f t="shared" si="87"/>
        <v>9.7999999999999972</v>
      </c>
      <c r="O121" s="159">
        <f t="shared" si="87"/>
        <v>10.700000000000003</v>
      </c>
      <c r="P121" s="159">
        <f t="shared" si="87"/>
        <v>11.399999999999999</v>
      </c>
      <c r="Q121" s="159">
        <f t="shared" si="87"/>
        <v>12.271999999999998</v>
      </c>
      <c r="R121" s="159">
        <f t="shared" si="87"/>
        <v>14.700000000000003</v>
      </c>
      <c r="S121" s="159">
        <f t="shared" si="87"/>
        <v>16.300000000000004</v>
      </c>
      <c r="T121" s="159">
        <f t="shared" si="87"/>
        <v>18.700000000000017</v>
      </c>
      <c r="U121" s="159">
        <f t="shared" si="87"/>
        <v>18.899999999999999</v>
      </c>
      <c r="V121" s="159">
        <f t="shared" si="87"/>
        <v>20.700000000000003</v>
      </c>
      <c r="W121" s="159">
        <f t="shared" si="87"/>
        <v>26.200000000000003</v>
      </c>
      <c r="X121" s="159"/>
      <c r="Y121" s="160">
        <v>24</v>
      </c>
      <c r="Z121" s="160">
        <v>23</v>
      </c>
      <c r="AA121" s="159">
        <f>(Master!I204-Master!I221)-Y121-Z121-W121</f>
        <v>18.769893833269961</v>
      </c>
      <c r="AB121" s="160">
        <v>24</v>
      </c>
      <c r="AC121" s="160">
        <v>24</v>
      </c>
      <c r="AD121" s="160">
        <v>24</v>
      </c>
      <c r="AE121" s="159">
        <f>(Master!J204-Master!J221)-AC121-AD121-AB121</f>
        <v>31.037459765000023</v>
      </c>
      <c r="AF121" s="159"/>
      <c r="AG121" s="306"/>
      <c r="AH121" s="306"/>
      <c r="AI121" s="306"/>
    </row>
    <row r="122" spans="2:56" x14ac:dyDescent="0.5">
      <c r="B122" s="146" t="s">
        <v>2030</v>
      </c>
      <c r="G122" s="159"/>
      <c r="K122" s="159"/>
      <c r="L122" s="159"/>
      <c r="M122" s="159"/>
      <c r="N122" s="159"/>
      <c r="O122" s="159"/>
      <c r="P122" s="159"/>
      <c r="Q122" s="159"/>
      <c r="R122" s="159"/>
      <c r="S122" s="397">
        <f>S121+S119-S106</f>
        <v>-3.8999999999997925E-2</v>
      </c>
      <c r="T122" s="397">
        <f t="shared" ref="T122:AA122" si="88">T121+T119-T106</f>
        <v>0.10500000000001108</v>
      </c>
      <c r="U122" s="397">
        <f t="shared" si="88"/>
        <v>-4.3000000000002814E-2</v>
      </c>
      <c r="V122" s="397">
        <f t="shared" si="88"/>
        <v>0.18200000000000571</v>
      </c>
      <c r="W122" s="397">
        <f t="shared" si="88"/>
        <v>2.9000000000003467E-2</v>
      </c>
      <c r="X122" s="397"/>
      <c r="Y122" s="397">
        <f t="shared" si="88"/>
        <v>0</v>
      </c>
      <c r="Z122" s="397">
        <f t="shared" si="88"/>
        <v>0</v>
      </c>
      <c r="AA122" s="397">
        <f t="shared" si="88"/>
        <v>0</v>
      </c>
      <c r="AB122" s="397">
        <f t="shared" ref="AB122" si="89">AB121+AB119-AB106</f>
        <v>0</v>
      </c>
      <c r="AC122" s="397">
        <f t="shared" ref="AC122" si="90">AC121+AC119-AC106</f>
        <v>0</v>
      </c>
      <c r="AD122" s="397">
        <f t="shared" ref="AD122" si="91">AD121+AD119-AD106</f>
        <v>0</v>
      </c>
      <c r="AE122" s="397">
        <f t="shared" ref="AE122" si="92">AE121+AE119-AE106</f>
        <v>0</v>
      </c>
      <c r="AF122" s="159"/>
      <c r="AG122" s="306"/>
      <c r="AH122" s="306"/>
      <c r="AI122" s="306"/>
    </row>
    <row r="123" spans="2:56" x14ac:dyDescent="0.5">
      <c r="AG123" s="316"/>
      <c r="AH123" s="316"/>
      <c r="AI123" s="316"/>
    </row>
    <row r="124" spans="2:56" x14ac:dyDescent="0.5">
      <c r="B124" s="154" t="s">
        <v>3</v>
      </c>
      <c r="C124" s="154"/>
      <c r="D124" s="154"/>
      <c r="E124" s="154"/>
      <c r="F124" s="154"/>
      <c r="G124" s="157">
        <v>7.4329999999999998</v>
      </c>
      <c r="H124" s="157">
        <v>8.2840000000000007</v>
      </c>
      <c r="I124" s="157">
        <v>12.532999999999999</v>
      </c>
      <c r="J124" s="157">
        <f>Master!E223-G124-H124-I124</f>
        <v>13.680999999999999</v>
      </c>
      <c r="K124" s="157">
        <v>17.841000000000001</v>
      </c>
      <c r="L124" s="157">
        <v>25.9</v>
      </c>
      <c r="M124" s="157">
        <v>26.3</v>
      </c>
      <c r="N124" s="157">
        <v>29.1</v>
      </c>
      <c r="O124" s="157">
        <v>32.9</v>
      </c>
      <c r="P124" s="157">
        <v>38.200000000000003</v>
      </c>
      <c r="Q124" s="157">
        <v>41.6</v>
      </c>
      <c r="R124" s="157">
        <v>40.4</v>
      </c>
      <c r="S124" s="157">
        <v>45.5</v>
      </c>
      <c r="T124" s="157">
        <v>52</v>
      </c>
      <c r="U124" s="157">
        <v>55.6</v>
      </c>
      <c r="V124" s="157">
        <v>49.2</v>
      </c>
      <c r="W124" s="157">
        <v>36.799999999999997</v>
      </c>
      <c r="X124" s="157"/>
      <c r="Y124" s="157">
        <f>Y79-Y121</f>
        <v>41.36</v>
      </c>
      <c r="Z124" s="157">
        <f>Z79-Z121</f>
        <v>51.3</v>
      </c>
      <c r="AA124" s="157">
        <f>AA79-AA121</f>
        <v>66.158856394866945</v>
      </c>
      <c r="AB124" s="157">
        <f t="shared" ref="AB124:AE124" si="93">AB79-AB121</f>
        <v>56.859999999999985</v>
      </c>
      <c r="AC124" s="157">
        <f t="shared" si="93"/>
        <v>66.13000000000001</v>
      </c>
      <c r="AD124" s="157">
        <f t="shared" si="93"/>
        <v>70.77000000000001</v>
      </c>
      <c r="AE124" s="157">
        <f t="shared" si="93"/>
        <v>80.917918734999972</v>
      </c>
      <c r="AF124" s="157"/>
      <c r="AG124" s="317"/>
      <c r="AH124" s="317"/>
      <c r="AI124" s="317"/>
      <c r="AK124" s="147"/>
      <c r="AL124" s="147"/>
      <c r="AM124" s="147"/>
      <c r="AN124" s="147"/>
      <c r="AO124" s="147">
        <f t="shared" ref="AO124:BA124" si="94">K124/G124-1</f>
        <v>1.4002421633257098</v>
      </c>
      <c r="AP124" s="147">
        <f t="shared" si="94"/>
        <v>2.1265089328826647</v>
      </c>
      <c r="AQ124" s="147">
        <f t="shared" si="94"/>
        <v>1.0984600654272723</v>
      </c>
      <c r="AR124" s="147">
        <f t="shared" si="94"/>
        <v>1.1270374972589727</v>
      </c>
      <c r="AS124" s="147">
        <f t="shared" si="94"/>
        <v>0.84406703660108717</v>
      </c>
      <c r="AT124" s="147">
        <f t="shared" si="94"/>
        <v>0.47490347490347506</v>
      </c>
      <c r="AU124" s="147">
        <f t="shared" si="94"/>
        <v>0.58174904942965777</v>
      </c>
      <c r="AV124" s="147">
        <f t="shared" si="94"/>
        <v>0.38831615120274909</v>
      </c>
      <c r="AW124" s="147">
        <f t="shared" si="94"/>
        <v>0.38297872340425543</v>
      </c>
      <c r="AX124" s="147">
        <f t="shared" si="94"/>
        <v>0.36125654450261768</v>
      </c>
      <c r="AY124" s="147">
        <f t="shared" si="94"/>
        <v>0.33653846153846145</v>
      </c>
      <c r="AZ124" s="147">
        <f t="shared" si="94"/>
        <v>0.21782178217821802</v>
      </c>
      <c r="BA124" s="147">
        <f t="shared" si="94"/>
        <v>-0.19120879120879131</v>
      </c>
      <c r="BB124" s="147">
        <f>Y124/T124-1</f>
        <v>-0.20461538461538464</v>
      </c>
      <c r="BC124" s="147">
        <f>Z124/U124-1</f>
        <v>-7.7338129496402952E-2</v>
      </c>
      <c r="BD124" s="147">
        <f>AA124/V124-1</f>
        <v>0.34469220314770199</v>
      </c>
    </row>
    <row r="125" spans="2:56" x14ac:dyDescent="0.5">
      <c r="B125" s="146" t="s">
        <v>330</v>
      </c>
      <c r="G125" s="161">
        <f t="shared" ref="G125:AA125" si="95">G124/G35</f>
        <v>0.41305918310641843</v>
      </c>
      <c r="H125" s="161">
        <f t="shared" si="95"/>
        <v>0.40125938483894408</v>
      </c>
      <c r="I125" s="161">
        <f t="shared" si="95"/>
        <v>0.40625607779578604</v>
      </c>
      <c r="J125" s="161">
        <f t="shared" si="95"/>
        <v>0.39479987302686637</v>
      </c>
      <c r="K125" s="161">
        <f t="shared" si="95"/>
        <v>0.44318859300476948</v>
      </c>
      <c r="L125" s="161">
        <f t="shared" si="95"/>
        <v>0.43898305084745759</v>
      </c>
      <c r="M125" s="161">
        <f t="shared" si="95"/>
        <v>0.38338192419825079</v>
      </c>
      <c r="N125" s="161">
        <f t="shared" si="95"/>
        <v>0.38138925294888598</v>
      </c>
      <c r="O125" s="161">
        <f t="shared" si="95"/>
        <v>0.376</v>
      </c>
      <c r="P125" s="161">
        <f t="shared" si="95"/>
        <v>0.37747035573122534</v>
      </c>
      <c r="Q125" s="161">
        <f t="shared" si="95"/>
        <v>0.37176050044682751</v>
      </c>
      <c r="R125" s="161">
        <f t="shared" si="95"/>
        <v>0.34121621621621617</v>
      </c>
      <c r="S125" s="161">
        <f t="shared" si="95"/>
        <v>0.33139111434814272</v>
      </c>
      <c r="T125" s="161">
        <f t="shared" si="95"/>
        <v>0.32278088144009931</v>
      </c>
      <c r="U125" s="161">
        <f t="shared" si="95"/>
        <v>0.33923123856009763</v>
      </c>
      <c r="V125" s="161">
        <f t="shared" si="95"/>
        <v>0.26170212765957446</v>
      </c>
      <c r="W125" s="161">
        <f t="shared" si="95"/>
        <v>0.19956616052060736</v>
      </c>
      <c r="X125" s="161"/>
      <c r="Y125" s="161">
        <f t="shared" si="95"/>
        <v>0.23106145251396648</v>
      </c>
      <c r="Z125" s="161">
        <f t="shared" si="95"/>
        <v>0.25270935960591134</v>
      </c>
      <c r="AA125" s="161">
        <f t="shared" si="95"/>
        <v>0.28961949178308277</v>
      </c>
      <c r="AB125" s="161">
        <f t="shared" ref="AB125:AE125" si="96">AB124/AB35</f>
        <v>0.25497757847533625</v>
      </c>
      <c r="AC125" s="161">
        <f t="shared" si="96"/>
        <v>0.27785714285714291</v>
      </c>
      <c r="AD125" s="161">
        <f t="shared" si="96"/>
        <v>0.28195219123505982</v>
      </c>
      <c r="AE125" s="161">
        <f t="shared" si="96"/>
        <v>0.28181396016262877</v>
      </c>
      <c r="AF125" s="161"/>
      <c r="AG125" s="315"/>
      <c r="AH125" s="315"/>
      <c r="AI125" s="315"/>
    </row>
    <row r="126" spans="2:56" x14ac:dyDescent="0.5">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315"/>
      <c r="AH126" s="315"/>
      <c r="AI126" s="315"/>
    </row>
    <row r="127" spans="2:56" x14ac:dyDescent="0.5">
      <c r="B127" s="146" t="s">
        <v>1294</v>
      </c>
      <c r="G127" s="161">
        <f t="shared" ref="G127:AA127" si="97">G124/G79</f>
        <v>0.67560443555717131</v>
      </c>
      <c r="H127" s="161">
        <f t="shared" si="97"/>
        <v>0.71891000607480704</v>
      </c>
      <c r="I127" s="161">
        <f t="shared" si="97"/>
        <v>0.74243232036016815</v>
      </c>
      <c r="J127" s="161">
        <f t="shared" si="97"/>
        <v>0.66181308049535603</v>
      </c>
      <c r="K127" s="161">
        <f t="shared" si="97"/>
        <v>0.76679417200326649</v>
      </c>
      <c r="L127" s="161">
        <f t="shared" si="97"/>
        <v>0.76627218934911245</v>
      </c>
      <c r="M127" s="161">
        <f t="shared" si="97"/>
        <v>0.76355823946115431</v>
      </c>
      <c r="N127" s="161">
        <f t="shared" si="97"/>
        <v>0.74807197943444736</v>
      </c>
      <c r="O127" s="161">
        <f t="shared" si="97"/>
        <v>0.75458715596330272</v>
      </c>
      <c r="P127" s="161">
        <f t="shared" si="97"/>
        <v>0.77016129032258063</v>
      </c>
      <c r="Q127" s="161">
        <f t="shared" si="97"/>
        <v>0.77220077220077221</v>
      </c>
      <c r="R127" s="161">
        <f t="shared" si="97"/>
        <v>0.73321234119782208</v>
      </c>
      <c r="S127" s="161">
        <f t="shared" si="97"/>
        <v>0.7362459546925566</v>
      </c>
      <c r="T127" s="161">
        <f t="shared" si="97"/>
        <v>0.73550212164073536</v>
      </c>
      <c r="U127" s="161">
        <f t="shared" si="97"/>
        <v>0.74630872483221478</v>
      </c>
      <c r="V127" s="161">
        <f t="shared" si="97"/>
        <v>0.70386266094420602</v>
      </c>
      <c r="W127" s="161">
        <f t="shared" si="97"/>
        <v>0.58412698412698405</v>
      </c>
      <c r="X127" s="161"/>
      <c r="Y127" s="161">
        <f t="shared" si="97"/>
        <v>0.63280293757649941</v>
      </c>
      <c r="Z127" s="161">
        <f t="shared" si="97"/>
        <v>0.69044414535666221</v>
      </c>
      <c r="AA127" s="161">
        <f t="shared" si="97"/>
        <v>0.77899246388472709</v>
      </c>
      <c r="AB127" s="161">
        <f t="shared" ref="AB127:AE127" si="98">AB124/AB79</f>
        <v>0.70319069997526584</v>
      </c>
      <c r="AC127" s="161">
        <f t="shared" si="98"/>
        <v>0.73371796294241654</v>
      </c>
      <c r="AD127" s="161">
        <f t="shared" si="98"/>
        <v>0.74675530231085785</v>
      </c>
      <c r="AE127" s="161">
        <f t="shared" si="98"/>
        <v>0.72276937311234202</v>
      </c>
      <c r="AF127" s="161"/>
      <c r="AG127" s="315"/>
      <c r="AH127" s="315"/>
      <c r="AI127" s="315"/>
    </row>
    <row r="128" spans="2:56" x14ac:dyDescent="0.5">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315"/>
      <c r="AH128" s="315"/>
      <c r="AI128" s="315"/>
    </row>
    <row r="129" spans="2:56" x14ac:dyDescent="0.5">
      <c r="B129" s="146" t="s">
        <v>1299</v>
      </c>
      <c r="G129" s="161"/>
      <c r="H129" s="161"/>
      <c r="I129" s="161"/>
      <c r="J129" s="161"/>
      <c r="K129" s="161"/>
      <c r="L129" s="161"/>
      <c r="M129" s="161"/>
      <c r="N129" s="161">
        <f t="shared" ref="N129:W129" si="99">N127+AR79</f>
        <v>1.6298444252548805</v>
      </c>
      <c r="O129" s="161">
        <f t="shared" si="99"/>
        <v>1.6284858107103695</v>
      </c>
      <c r="P129" s="161">
        <f t="shared" si="99"/>
        <v>1.2376169116243561</v>
      </c>
      <c r="Q129" s="161">
        <f t="shared" si="99"/>
        <v>1.3362467598909358</v>
      </c>
      <c r="R129" s="161">
        <f t="shared" si="99"/>
        <v>1.1496647833572053</v>
      </c>
      <c r="S129" s="161">
        <f t="shared" si="99"/>
        <v>1.1536771473531071</v>
      </c>
      <c r="T129" s="161">
        <f t="shared" si="99"/>
        <v>1.1609053474471873</v>
      </c>
      <c r="U129" s="161">
        <f t="shared" si="99"/>
        <v>1.1292163577398475</v>
      </c>
      <c r="V129" s="161">
        <f t="shared" si="99"/>
        <v>0.97246520177905182</v>
      </c>
      <c r="W129" s="161">
        <f t="shared" si="99"/>
        <v>0.60354445985513938</v>
      </c>
      <c r="X129" s="161"/>
      <c r="Y129" s="161">
        <f t="shared" ref="Y129:AE129" si="100">Y127+BB79</f>
        <v>0.55727252739262367</v>
      </c>
      <c r="Z129" s="161">
        <f t="shared" si="100"/>
        <v>0.68775958159827288</v>
      </c>
      <c r="AA129" s="161">
        <f t="shared" si="100"/>
        <v>0.99399604368639938</v>
      </c>
      <c r="AB129" s="161">
        <f t="shared" si="100"/>
        <v>0.98668276346732908</v>
      </c>
      <c r="AC129" s="161">
        <f t="shared" si="100"/>
        <v>1.1126959311186715</v>
      </c>
      <c r="AD129" s="161">
        <f t="shared" si="100"/>
        <v>1.0222600129434287</v>
      </c>
      <c r="AE129" s="161">
        <f t="shared" si="100"/>
        <v>1.040996454039163</v>
      </c>
      <c r="AF129" s="161"/>
      <c r="AG129" s="315"/>
      <c r="AH129" s="315"/>
      <c r="AI129" s="315"/>
    </row>
    <row r="130" spans="2:56" x14ac:dyDescent="0.5">
      <c r="G130" s="161"/>
      <c r="H130" s="161"/>
      <c r="I130" s="159"/>
      <c r="J130" s="159"/>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315"/>
      <c r="AH130" s="315"/>
      <c r="AI130" s="315"/>
    </row>
    <row r="131" spans="2:56" x14ac:dyDescent="0.5">
      <c r="B131" s="146" t="s">
        <v>1008</v>
      </c>
      <c r="G131" s="159"/>
      <c r="H131" s="159"/>
      <c r="I131" s="159"/>
      <c r="J131" s="159"/>
      <c r="K131" s="159"/>
      <c r="L131" s="159"/>
      <c r="M131" s="159"/>
      <c r="N131" s="159"/>
      <c r="O131" s="159">
        <f>11.071-P131-Q131</f>
        <v>-2.5650000000000004</v>
      </c>
      <c r="P131" s="159">
        <v>6.78</v>
      </c>
      <c r="Q131" s="159">
        <v>6.8559999999999999</v>
      </c>
      <c r="R131" s="159"/>
      <c r="S131" s="159"/>
      <c r="T131" s="159"/>
      <c r="U131" s="159"/>
      <c r="V131" s="159"/>
      <c r="W131" s="159"/>
      <c r="X131" s="159"/>
      <c r="Y131" s="161"/>
      <c r="Z131" s="161"/>
      <c r="AA131" s="161"/>
      <c r="AB131" s="161"/>
      <c r="AC131" s="161"/>
      <c r="AD131" s="161"/>
      <c r="AE131" s="161"/>
      <c r="AF131" s="161"/>
      <c r="AG131" s="315"/>
      <c r="AH131" s="315"/>
      <c r="AI131" s="315"/>
    </row>
    <row r="132" spans="2:56" x14ac:dyDescent="0.5">
      <c r="B132" s="168" t="s">
        <v>1009</v>
      </c>
      <c r="C132" s="168"/>
      <c r="D132" s="168"/>
      <c r="E132" s="168"/>
      <c r="F132" s="168"/>
      <c r="G132" s="216"/>
      <c r="H132" s="216"/>
      <c r="I132" s="217"/>
      <c r="J132" s="217"/>
      <c r="K132" s="216"/>
      <c r="L132" s="216"/>
      <c r="M132" s="216"/>
      <c r="N132" s="216"/>
      <c r="O132" s="217">
        <f>11.912-Q132-P132</f>
        <v>1.1660000000000008</v>
      </c>
      <c r="P132" s="217">
        <v>3.0550000000000002</v>
      </c>
      <c r="Q132" s="217">
        <v>7.6909999999999998</v>
      </c>
      <c r="R132" s="217"/>
      <c r="S132" s="217"/>
      <c r="T132" s="217"/>
      <c r="U132" s="217"/>
      <c r="V132" s="217"/>
      <c r="W132" s="216"/>
      <c r="X132" s="216"/>
      <c r="Y132" s="217"/>
      <c r="Z132" s="217"/>
      <c r="AA132" s="217"/>
      <c r="AB132" s="217"/>
      <c r="AC132" s="217"/>
      <c r="AD132" s="217"/>
      <c r="AE132" s="217"/>
      <c r="AF132" s="217"/>
      <c r="AG132" s="308"/>
      <c r="AH132" s="308"/>
      <c r="AI132" s="306"/>
    </row>
    <row r="133" spans="2:56" x14ac:dyDescent="0.5">
      <c r="B133" s="146" t="s">
        <v>1010</v>
      </c>
      <c r="G133" s="161"/>
      <c r="H133" s="161"/>
      <c r="I133" s="159"/>
      <c r="J133" s="159"/>
      <c r="K133" s="161"/>
      <c r="L133" s="161"/>
      <c r="M133" s="161"/>
      <c r="N133" s="161"/>
      <c r="O133" s="159">
        <f>O131-O132</f>
        <v>-3.7310000000000012</v>
      </c>
      <c r="P133" s="159">
        <f>P131-P132</f>
        <v>3.7250000000000001</v>
      </c>
      <c r="Q133" s="159">
        <f>Q131-Q132</f>
        <v>-0.83499999999999996</v>
      </c>
      <c r="R133" s="159"/>
      <c r="S133" s="159"/>
      <c r="T133" s="159"/>
      <c r="U133" s="159"/>
      <c r="V133" s="159"/>
      <c r="W133" s="161"/>
      <c r="X133" s="161"/>
      <c r="Y133" s="159"/>
      <c r="Z133" s="159"/>
      <c r="AA133" s="159"/>
      <c r="AB133" s="159"/>
      <c r="AC133" s="159"/>
      <c r="AD133" s="159"/>
      <c r="AE133" s="159"/>
      <c r="AF133" s="159"/>
      <c r="AG133" s="306"/>
      <c r="AH133" s="306"/>
      <c r="AI133" s="306"/>
    </row>
    <row r="134" spans="2:56" x14ac:dyDescent="0.5">
      <c r="G134" s="161"/>
      <c r="H134" s="161"/>
      <c r="I134" s="159"/>
      <c r="J134" s="159"/>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315"/>
      <c r="AH134" s="315"/>
      <c r="AI134" s="315"/>
    </row>
    <row r="135" spans="2:56" x14ac:dyDescent="0.5">
      <c r="B135" s="154" t="s">
        <v>793</v>
      </c>
      <c r="C135" s="154"/>
      <c r="D135" s="154"/>
      <c r="E135" s="154"/>
      <c r="F135" s="154"/>
      <c r="G135" s="218"/>
      <c r="H135" s="218"/>
      <c r="I135" s="157"/>
      <c r="J135" s="157"/>
      <c r="K135" s="218"/>
      <c r="L135" s="218"/>
      <c r="M135" s="218"/>
      <c r="N135" s="218"/>
      <c r="O135" s="157">
        <f>O124-O133</f>
        <v>36.631</v>
      </c>
      <c r="P135" s="157">
        <f>P124-P133</f>
        <v>34.475000000000001</v>
      </c>
      <c r="Q135" s="157">
        <f>Q124-Q133</f>
        <v>42.435000000000002</v>
      </c>
      <c r="R135" s="157"/>
      <c r="S135" s="157"/>
      <c r="T135" s="157"/>
      <c r="U135" s="157"/>
      <c r="V135" s="157"/>
      <c r="W135" s="218"/>
      <c r="X135" s="218"/>
      <c r="Y135" s="218"/>
      <c r="Z135" s="218"/>
      <c r="AA135" s="161"/>
      <c r="AB135" s="161"/>
      <c r="AC135" s="161"/>
      <c r="AD135" s="161"/>
      <c r="AE135" s="161"/>
      <c r="AF135" s="161"/>
      <c r="AG135" s="318"/>
      <c r="AH135" s="318"/>
      <c r="AI135" s="318"/>
    </row>
    <row r="136" spans="2:56" x14ac:dyDescent="0.5">
      <c r="B136" s="146" t="s">
        <v>106</v>
      </c>
      <c r="G136" s="161"/>
      <c r="H136" s="161"/>
      <c r="I136" s="159"/>
      <c r="J136" s="159"/>
      <c r="K136" s="161"/>
      <c r="L136" s="161"/>
      <c r="M136" s="161"/>
      <c r="N136" s="161"/>
      <c r="O136" s="161">
        <f>O135/O35</f>
        <v>0.41864000000000001</v>
      </c>
      <c r="P136" s="161">
        <f>P135/P35</f>
        <v>0.34066205533596838</v>
      </c>
      <c r="Q136" s="161">
        <f>Q135/Q35</f>
        <v>0.37922252010723861</v>
      </c>
      <c r="R136" s="161"/>
      <c r="S136" s="161"/>
      <c r="T136" s="161"/>
      <c r="U136" s="161"/>
      <c r="V136" s="161"/>
      <c r="W136" s="161"/>
      <c r="X136" s="161"/>
      <c r="Y136" s="161"/>
      <c r="Z136" s="161"/>
      <c r="AA136" s="161"/>
      <c r="AB136" s="161"/>
      <c r="AC136" s="161"/>
      <c r="AD136" s="161"/>
      <c r="AE136" s="161"/>
      <c r="AF136" s="161"/>
      <c r="AG136" s="315"/>
      <c r="AH136" s="315"/>
      <c r="AI136" s="315"/>
    </row>
    <row r="137" spans="2:56" x14ac:dyDescent="0.5">
      <c r="G137" s="161"/>
      <c r="H137" s="161"/>
      <c r="I137" s="159"/>
      <c r="J137" s="159"/>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G137" s="315"/>
      <c r="AH137" s="315"/>
      <c r="AI137" s="315"/>
    </row>
    <row r="138" spans="2:56" x14ac:dyDescent="0.5">
      <c r="AG138" s="316"/>
      <c r="AH138" s="316"/>
      <c r="AI138" s="316"/>
    </row>
    <row r="139" spans="2:56" x14ac:dyDescent="0.5">
      <c r="B139" s="146" t="s">
        <v>112</v>
      </c>
      <c r="G139" s="159">
        <v>4.8000000000000001E-2</v>
      </c>
      <c r="H139" s="159">
        <f>-0.1+0.043-0.009</f>
        <v>-6.6000000000000003E-2</v>
      </c>
      <c r="I139" s="159">
        <f>-0.219+0.014-0.009</f>
        <v>-0.214</v>
      </c>
      <c r="J139" s="159">
        <f>-0.148+0.007-0.004</f>
        <v>-0.14499999999999999</v>
      </c>
      <c r="K139" s="159">
        <v>0.47899999999999998</v>
      </c>
      <c r="L139" s="159">
        <v>-0.4</v>
      </c>
      <c r="M139" s="159">
        <v>-0.65800000000000003</v>
      </c>
      <c r="N139" s="159">
        <f>-(1.267-0.033-0.137)</f>
        <v>-1.097</v>
      </c>
      <c r="O139" s="159">
        <f>1.3+0.3-0.006</f>
        <v>1.5940000000000001</v>
      </c>
      <c r="P139" s="159">
        <v>-0.219</v>
      </c>
      <c r="Q139" s="159">
        <v>2.6059999999999999</v>
      </c>
      <c r="R139" s="159">
        <f>3.1+0.132</f>
        <v>3.2320000000000002</v>
      </c>
      <c r="S139" s="159">
        <f>-6.988+5.595+1.019</f>
        <v>-0.37400000000000078</v>
      </c>
      <c r="T139" s="159">
        <f>-18.9+11.4+1.6</f>
        <v>-5.8999999999999986</v>
      </c>
      <c r="U139" s="159">
        <f>-44.5+42.9+3.8</f>
        <v>2.1999999999999984</v>
      </c>
      <c r="V139" s="159">
        <f>57.9-57-6</f>
        <v>-5.1000000000000014</v>
      </c>
      <c r="W139" s="159">
        <f>17.958+2.368-18.257</f>
        <v>2.0689999999999955</v>
      </c>
      <c r="X139" s="159"/>
      <c r="Y139" s="160">
        <v>1</v>
      </c>
      <c r="Z139" s="160">
        <v>1</v>
      </c>
      <c r="AA139" s="159">
        <f>Master!I227-W139-Y139-Z139</f>
        <v>0.93100000000000449</v>
      </c>
      <c r="AB139" s="160">
        <v>1</v>
      </c>
      <c r="AC139" s="160">
        <v>1</v>
      </c>
      <c r="AD139" s="160">
        <v>1</v>
      </c>
      <c r="AE139" s="159">
        <f>Master!J227-AB139-AC139-AD139</f>
        <v>2</v>
      </c>
      <c r="AF139" s="159"/>
      <c r="AG139" s="306"/>
      <c r="AH139" s="306"/>
      <c r="AI139" s="306"/>
    </row>
    <row r="140" spans="2:56" x14ac:dyDescent="0.5">
      <c r="B140" s="146" t="s">
        <v>109</v>
      </c>
      <c r="G140" s="159">
        <f>G108+G139</f>
        <v>1.371</v>
      </c>
      <c r="H140" s="159">
        <f t="shared" ref="H140:AA140" si="101">H108-H139</f>
        <v>7.8919999999999995</v>
      </c>
      <c r="I140" s="159">
        <f t="shared" si="101"/>
        <v>9.5540000000000003</v>
      </c>
      <c r="J140" s="159">
        <f t="shared" si="101"/>
        <v>12.600999999999999</v>
      </c>
      <c r="K140" s="159">
        <f t="shared" si="101"/>
        <v>18.260000000000002</v>
      </c>
      <c r="L140" s="159">
        <f t="shared" si="101"/>
        <v>19.281999999999996</v>
      </c>
      <c r="M140" s="159">
        <f t="shared" si="101"/>
        <v>22.227</v>
      </c>
      <c r="N140" s="159">
        <f t="shared" si="101"/>
        <v>25.663</v>
      </c>
      <c r="O140" s="159">
        <f t="shared" si="101"/>
        <v>27.459999999999997</v>
      </c>
      <c r="P140" s="159">
        <f t="shared" si="101"/>
        <v>35.311</v>
      </c>
      <c r="Q140" s="159">
        <f t="shared" si="101"/>
        <v>34.625</v>
      </c>
      <c r="R140" s="159">
        <f t="shared" si="101"/>
        <v>23.27</v>
      </c>
      <c r="S140" s="159">
        <f t="shared" si="101"/>
        <v>39.733000000000004</v>
      </c>
      <c r="T140" s="159">
        <f t="shared" si="101"/>
        <v>53.46</v>
      </c>
      <c r="U140" s="159">
        <f t="shared" si="101"/>
        <v>49.330000000000005</v>
      </c>
      <c r="V140" s="159">
        <f t="shared" si="101"/>
        <v>46.1</v>
      </c>
      <c r="W140" s="159">
        <f t="shared" si="101"/>
        <v>24.832000000000004</v>
      </c>
      <c r="X140" s="159"/>
      <c r="Y140" s="159">
        <f t="shared" si="101"/>
        <v>33.86</v>
      </c>
      <c r="Z140" s="159">
        <f t="shared" si="101"/>
        <v>43.8</v>
      </c>
      <c r="AA140" s="159">
        <f t="shared" si="101"/>
        <v>60.570418883460093</v>
      </c>
      <c r="AB140" s="159">
        <f t="shared" ref="AB140:AE140" si="102">AB108-AB139</f>
        <v>50.359999999999985</v>
      </c>
      <c r="AC140" s="159">
        <f t="shared" si="102"/>
        <v>58.63000000000001</v>
      </c>
      <c r="AD140" s="159">
        <f t="shared" si="102"/>
        <v>63.77000000000001</v>
      </c>
      <c r="AE140" s="159">
        <f t="shared" si="102"/>
        <v>71.532149809999964</v>
      </c>
      <c r="AF140" s="159"/>
      <c r="AG140" s="306"/>
      <c r="AH140" s="306"/>
      <c r="AI140" s="306"/>
    </row>
    <row r="141" spans="2:56" x14ac:dyDescent="0.5">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306"/>
      <c r="AH141" s="306"/>
      <c r="AI141" s="306"/>
    </row>
    <row r="142" spans="2:56" x14ac:dyDescent="0.5">
      <c r="B142" s="146" t="s">
        <v>111</v>
      </c>
      <c r="G142" s="159">
        <v>0.81799999999999995</v>
      </c>
      <c r="H142" s="159">
        <f>2.231-G142-I142</f>
        <v>0.48099999999999976</v>
      </c>
      <c r="I142" s="159">
        <v>0.93200000000000005</v>
      </c>
      <c r="J142" s="159">
        <v>1</v>
      </c>
      <c r="K142" s="159">
        <v>1.379</v>
      </c>
      <c r="L142" s="159">
        <v>1.5960000000000001</v>
      </c>
      <c r="M142" s="159">
        <v>2.5579999999999998</v>
      </c>
      <c r="N142" s="159">
        <v>2.1139999999999999</v>
      </c>
      <c r="O142" s="159">
        <v>1.2130000000000001</v>
      </c>
      <c r="P142" s="159">
        <v>4.1509999999999998</v>
      </c>
      <c r="Q142" s="159">
        <v>2.2869999999999999</v>
      </c>
      <c r="R142" s="159">
        <v>3.9350000000000001</v>
      </c>
      <c r="S142" s="159">
        <v>4.2809999999999997</v>
      </c>
      <c r="T142" s="159">
        <v>8.8000000000000007</v>
      </c>
      <c r="U142" s="159">
        <v>8.8970000000000002</v>
      </c>
      <c r="V142" s="159">
        <v>7.5</v>
      </c>
      <c r="W142" s="159">
        <v>7.1139999999999999</v>
      </c>
      <c r="X142" s="159"/>
      <c r="Y142" s="159">
        <f>Y143*Y140</f>
        <v>6.7720000000000002</v>
      </c>
      <c r="Z142" s="159">
        <f>Z143*Z140</f>
        <v>8.76</v>
      </c>
      <c r="AA142" s="159">
        <f>Master!I231-W142-Y142-Z142</f>
        <v>10.001883776692017</v>
      </c>
      <c r="AB142" s="159">
        <f>AB143*AB140</f>
        <v>10.071999999999997</v>
      </c>
      <c r="AC142" s="159">
        <f>AC143*AC140</f>
        <v>11.726000000000003</v>
      </c>
      <c r="AD142" s="159">
        <f>AD143*AD140</f>
        <v>12.754000000000003</v>
      </c>
      <c r="AE142" s="159">
        <f>Master!J231-AB142-AC142-AD142</f>
        <v>14.306429962000001</v>
      </c>
      <c r="AF142" s="159"/>
      <c r="AG142" s="306"/>
      <c r="AH142" s="306"/>
      <c r="AI142" s="306"/>
    </row>
    <row r="143" spans="2:56" x14ac:dyDescent="0.5">
      <c r="B143" s="146" t="s">
        <v>253</v>
      </c>
      <c r="G143" s="147">
        <f>G142/G140</f>
        <v>0.59664478482859218</v>
      </c>
      <c r="H143" s="159"/>
      <c r="I143" s="159"/>
      <c r="J143" s="159"/>
      <c r="K143" s="147">
        <f t="shared" ref="K143:P143" si="103">K142/K140</f>
        <v>7.5520262869660459E-2</v>
      </c>
      <c r="L143" s="147">
        <f t="shared" si="103"/>
        <v>8.2771496732704092E-2</v>
      </c>
      <c r="M143" s="147">
        <f t="shared" si="103"/>
        <v>0.11508525666981598</v>
      </c>
      <c r="N143" s="147">
        <f t="shared" si="103"/>
        <v>8.2375404278533293E-2</v>
      </c>
      <c r="O143" s="147">
        <f t="shared" si="103"/>
        <v>4.4173343044428263E-2</v>
      </c>
      <c r="P143" s="147">
        <f t="shared" si="103"/>
        <v>0.1175554359831214</v>
      </c>
      <c r="Q143" s="147">
        <f t="shared" ref="Q143:W143" si="104">Q142/Q140</f>
        <v>6.6050541516245481E-2</v>
      </c>
      <c r="R143" s="147">
        <f t="shared" si="104"/>
        <v>0.16910184787279761</v>
      </c>
      <c r="S143" s="147">
        <f t="shared" si="104"/>
        <v>0.10774419248483626</v>
      </c>
      <c r="T143" s="147">
        <f t="shared" si="104"/>
        <v>0.16460905349794239</v>
      </c>
      <c r="U143" s="147">
        <f t="shared" si="104"/>
        <v>0.18035678086357185</v>
      </c>
      <c r="V143" s="147">
        <f t="shared" si="104"/>
        <v>0.16268980477223427</v>
      </c>
      <c r="W143" s="147">
        <f t="shared" si="104"/>
        <v>0.28648518041237109</v>
      </c>
      <c r="X143" s="147"/>
      <c r="Y143" s="163">
        <v>0.2</v>
      </c>
      <c r="Z143" s="163">
        <v>0.2</v>
      </c>
      <c r="AA143" s="147">
        <f>AA142/AA140</f>
        <v>0.16512819229360196</v>
      </c>
      <c r="AB143" s="163">
        <v>0.2</v>
      </c>
      <c r="AC143" s="163">
        <v>0.2</v>
      </c>
      <c r="AD143" s="163">
        <v>0.2</v>
      </c>
      <c r="AE143" s="147">
        <f>AE142/AE140</f>
        <v>0.20000000000000012</v>
      </c>
      <c r="AF143" s="147"/>
      <c r="AG143" s="301"/>
      <c r="AH143" s="301"/>
      <c r="AI143" s="301"/>
    </row>
    <row r="144" spans="2:56" x14ac:dyDescent="0.5">
      <c r="B144" s="154" t="s">
        <v>110</v>
      </c>
      <c r="C144" s="154"/>
      <c r="D144" s="154"/>
      <c r="E144" s="154"/>
      <c r="F144" s="154"/>
      <c r="G144" s="157">
        <f>G140-G142</f>
        <v>0.55300000000000005</v>
      </c>
      <c r="H144" s="157">
        <v>7.4</v>
      </c>
      <c r="I144" s="157">
        <v>8.6</v>
      </c>
      <c r="J144" s="157">
        <v>11.6</v>
      </c>
      <c r="K144" s="157">
        <f>K140-K142</f>
        <v>16.881</v>
      </c>
      <c r="L144" s="157">
        <f>L140-L142</f>
        <v>17.685999999999996</v>
      </c>
      <c r="M144" s="157">
        <v>19.669</v>
      </c>
      <c r="N144" s="157">
        <v>23.548999999999999</v>
      </c>
      <c r="O144" s="157">
        <v>26.273</v>
      </c>
      <c r="P144" s="157">
        <v>30.722000000000001</v>
      </c>
      <c r="Q144" s="157">
        <v>32.338000000000001</v>
      </c>
      <c r="R144" s="157">
        <v>19.3</v>
      </c>
      <c r="S144" s="157">
        <v>35.5</v>
      </c>
      <c r="T144" s="157">
        <v>44.8</v>
      </c>
      <c r="U144" s="157">
        <f>U140-U142</f>
        <v>40.433000000000007</v>
      </c>
      <c r="V144" s="157">
        <f>V140-V142</f>
        <v>38.6</v>
      </c>
      <c r="W144" s="157">
        <v>17.718</v>
      </c>
      <c r="X144" s="157"/>
      <c r="Y144" s="157">
        <f>Y108-Y139-Y142</f>
        <v>27.088000000000001</v>
      </c>
      <c r="Z144" s="157">
        <f>Z108-Z139-Z142</f>
        <v>35.04</v>
      </c>
      <c r="AA144" s="157">
        <f>Master!I234-W144-Y144-Z144</f>
        <v>50.745535106768067</v>
      </c>
      <c r="AB144" s="157">
        <f t="shared" ref="AB144:AE144" si="105">AB108-AB139-AB142</f>
        <v>40.28799999999999</v>
      </c>
      <c r="AC144" s="157">
        <f t="shared" si="105"/>
        <v>46.904000000000011</v>
      </c>
      <c r="AD144" s="157">
        <f t="shared" si="105"/>
        <v>51.016000000000005</v>
      </c>
      <c r="AE144" s="157">
        <f t="shared" si="105"/>
        <v>57.225719847999962</v>
      </c>
      <c r="AF144" s="157"/>
      <c r="AG144" s="317"/>
      <c r="AH144" s="317"/>
      <c r="AI144" s="317"/>
      <c r="AK144" s="147"/>
      <c r="AL144" s="147"/>
      <c r="AM144" s="147"/>
      <c r="AN144" s="147"/>
      <c r="AO144" s="147">
        <f t="shared" ref="AO144:BA144" si="106">K144/G144-1</f>
        <v>29.526220614828208</v>
      </c>
      <c r="AP144" s="147">
        <f t="shared" si="106"/>
        <v>1.3899999999999992</v>
      </c>
      <c r="AQ144" s="147">
        <f t="shared" si="106"/>
        <v>1.2870930232558142</v>
      </c>
      <c r="AR144" s="147">
        <f t="shared" si="106"/>
        <v>1.0300862068965517</v>
      </c>
      <c r="AS144" s="147">
        <f t="shared" si="106"/>
        <v>0.55636514424500905</v>
      </c>
      <c r="AT144" s="147">
        <f t="shared" si="106"/>
        <v>0.73708017641072088</v>
      </c>
      <c r="AU144" s="147">
        <f t="shared" si="106"/>
        <v>0.64411002084498459</v>
      </c>
      <c r="AV144" s="147">
        <f t="shared" si="106"/>
        <v>-0.18043229011847628</v>
      </c>
      <c r="AW144" s="147">
        <f t="shared" si="106"/>
        <v>0.35119704639744231</v>
      </c>
      <c r="AX144" s="147">
        <f t="shared" si="106"/>
        <v>0.45823839593776428</v>
      </c>
      <c r="AY144" s="147">
        <f t="shared" si="106"/>
        <v>0.25032469540478708</v>
      </c>
      <c r="AZ144" s="147">
        <f t="shared" si="106"/>
        <v>1</v>
      </c>
      <c r="BA144" s="147">
        <f t="shared" si="106"/>
        <v>-0.50090140845070419</v>
      </c>
      <c r="BB144" s="147">
        <f>Y144/T144-1</f>
        <v>-0.39535714285714285</v>
      </c>
      <c r="BC144" s="147" t="e">
        <f>Z144/#REF!-1</f>
        <v>#REF!</v>
      </c>
      <c r="BD144" s="147" t="e">
        <f>AA144/#REF!-1</f>
        <v>#REF!</v>
      </c>
    </row>
    <row r="145" spans="2:55" x14ac:dyDescent="0.5">
      <c r="B145" s="146" t="s">
        <v>106</v>
      </c>
      <c r="G145" s="161">
        <f t="shared" ref="G145:AA145" si="107">G144/G35</f>
        <v>3.0730758544040011E-2</v>
      </c>
      <c r="H145" s="161">
        <f t="shared" si="107"/>
        <v>0.35844030031484625</v>
      </c>
      <c r="I145" s="161">
        <f t="shared" si="107"/>
        <v>0.27876823338735818</v>
      </c>
      <c r="J145" s="161">
        <f t="shared" si="107"/>
        <v>0.33474735232158831</v>
      </c>
      <c r="K145" s="161">
        <f t="shared" si="107"/>
        <v>0.41934121621621623</v>
      </c>
      <c r="L145" s="161">
        <f t="shared" si="107"/>
        <v>0.29976271186440673</v>
      </c>
      <c r="M145" s="161">
        <f t="shared" si="107"/>
        <v>0.28672011661807584</v>
      </c>
      <c r="N145" s="161">
        <f t="shared" si="107"/>
        <v>0.30863695937090435</v>
      </c>
      <c r="O145" s="161">
        <f t="shared" si="107"/>
        <v>0.30026285714285716</v>
      </c>
      <c r="P145" s="161">
        <f t="shared" si="107"/>
        <v>0.30357707509881421</v>
      </c>
      <c r="Q145" s="161">
        <f t="shared" si="107"/>
        <v>0.28899016979445935</v>
      </c>
      <c r="R145" s="161">
        <f t="shared" si="107"/>
        <v>0.16300675675675674</v>
      </c>
      <c r="S145" s="161">
        <f t="shared" si="107"/>
        <v>0.25855790240349596</v>
      </c>
      <c r="T145" s="161">
        <f t="shared" si="107"/>
        <v>0.2780881440099317</v>
      </c>
      <c r="U145" s="161">
        <f t="shared" si="107"/>
        <v>0.24669310555216598</v>
      </c>
      <c r="V145" s="161">
        <f t="shared" si="107"/>
        <v>0.20531914893617023</v>
      </c>
      <c r="W145" s="161">
        <f t="shared" si="107"/>
        <v>9.6084598698481558E-2</v>
      </c>
      <c r="X145" s="161"/>
      <c r="Y145" s="161">
        <f t="shared" si="107"/>
        <v>0.15132960893854749</v>
      </c>
      <c r="Z145" s="161">
        <f t="shared" si="107"/>
        <v>0.17261083743842365</v>
      </c>
      <c r="AA145" s="161">
        <f t="shared" si="107"/>
        <v>0.22214555826305121</v>
      </c>
      <c r="AB145" s="161">
        <f t="shared" ref="AB145:AE145" si="108">AB144/AB35</f>
        <v>0.1806636771300448</v>
      </c>
      <c r="AC145" s="161">
        <f t="shared" si="108"/>
        <v>0.1970756302521009</v>
      </c>
      <c r="AD145" s="161">
        <f t="shared" si="108"/>
        <v>0.20325099601593627</v>
      </c>
      <c r="AE145" s="161">
        <f t="shared" si="108"/>
        <v>0.19930080982849713</v>
      </c>
      <c r="AF145" s="161"/>
      <c r="AG145" s="315"/>
      <c r="AH145" s="315"/>
      <c r="AI145" s="315"/>
      <c r="AW145" s="161"/>
      <c r="AX145" s="161"/>
      <c r="AY145" s="161"/>
      <c r="AZ145" s="161"/>
      <c r="BA145" s="161"/>
      <c r="BB145" s="161"/>
      <c r="BC145" s="161"/>
    </row>
    <row r="146" spans="2:55" x14ac:dyDescent="0.5">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306"/>
      <c r="AH146" s="306"/>
      <c r="AI146" s="306"/>
      <c r="AW146" s="161"/>
      <c r="AX146" s="161"/>
      <c r="AY146" s="161"/>
      <c r="AZ146" s="161"/>
      <c r="BA146" s="161"/>
      <c r="BB146" s="161"/>
      <c r="BC146" s="161"/>
    </row>
    <row r="147" spans="2:55" x14ac:dyDescent="0.5">
      <c r="B147" s="146" t="s">
        <v>1611</v>
      </c>
      <c r="G147" s="159">
        <f t="shared" ref="G147:T147" si="109">G144+G116+G112+G113+G114+G115+G118</f>
        <v>1.413</v>
      </c>
      <c r="H147" s="159">
        <f t="shared" si="109"/>
        <v>7.4</v>
      </c>
      <c r="I147" s="159">
        <f t="shared" si="109"/>
        <v>7.5019999999999998</v>
      </c>
      <c r="J147" s="159">
        <f t="shared" si="109"/>
        <v>12.353</v>
      </c>
      <c r="K147" s="159">
        <f t="shared" si="109"/>
        <v>14.903000000000002</v>
      </c>
      <c r="L147" s="159">
        <f t="shared" si="109"/>
        <v>21.303999999999995</v>
      </c>
      <c r="M147" s="159">
        <f t="shared" si="109"/>
        <v>20.346000000000004</v>
      </c>
      <c r="N147" s="159">
        <f t="shared" si="109"/>
        <v>24.265000000000001</v>
      </c>
      <c r="O147" s="159">
        <f t="shared" si="109"/>
        <v>26.361999999999998</v>
      </c>
      <c r="P147" s="159">
        <f t="shared" si="109"/>
        <v>30.732000000000006</v>
      </c>
      <c r="Q147" s="159">
        <f t="shared" si="109"/>
        <v>32.998000000000005</v>
      </c>
      <c r="R147" s="159">
        <f t="shared" si="109"/>
        <v>26.931000000000001</v>
      </c>
      <c r="S147" s="159">
        <f t="shared" si="109"/>
        <v>36.796999999999997</v>
      </c>
      <c r="T147" s="159">
        <f t="shared" si="109"/>
        <v>44.949999999999996</v>
      </c>
      <c r="U147" s="159">
        <f>U144+U116+U112+U113+U114+U115-U118</f>
        <v>47.938000000000009</v>
      </c>
      <c r="V147" s="159">
        <f>V144+V116+V112+V113+V114+V115-V118</f>
        <v>39.499999999999993</v>
      </c>
      <c r="W147" s="159">
        <f>W144+W116+W112+W113+W114+W115-W118</f>
        <v>11.935000000000002</v>
      </c>
      <c r="X147" s="159"/>
      <c r="Y147" s="159">
        <f>Y144+Y116+Y112+Y113+Y114+Y115+Y118</f>
        <v>27.588000000000001</v>
      </c>
      <c r="Z147" s="159">
        <f>Z144+Z116+Z112+Z113+Z114+Z115+Z118</f>
        <v>35.54</v>
      </c>
      <c r="AA147" s="159">
        <f>AA144+AA116+AA112+AA113+AA114+AA115+AA118</f>
        <v>50.785535106768066</v>
      </c>
      <c r="AB147" s="159"/>
      <c r="AC147" s="159"/>
      <c r="AD147" s="159"/>
      <c r="AE147" s="159"/>
      <c r="AF147" s="159"/>
      <c r="AG147" s="306"/>
      <c r="AH147" s="306"/>
      <c r="AI147" s="306"/>
    </row>
    <row r="148" spans="2:55" x14ac:dyDescent="0.5">
      <c r="B148" s="146" t="s">
        <v>106</v>
      </c>
      <c r="G148" s="147">
        <f t="shared" ref="G148:AA148" si="110">G147/G35</f>
        <v>7.8521811614337314E-2</v>
      </c>
      <c r="H148" s="147">
        <f t="shared" si="110"/>
        <v>0.35844030031484625</v>
      </c>
      <c r="I148" s="147">
        <f t="shared" si="110"/>
        <v>0.2431766612641815</v>
      </c>
      <c r="J148" s="147">
        <f t="shared" si="110"/>
        <v>0.35647707269211903</v>
      </c>
      <c r="K148" s="147">
        <f t="shared" si="110"/>
        <v>0.37020568362480133</v>
      </c>
      <c r="L148" s="147">
        <f t="shared" si="110"/>
        <v>0.36108474576271177</v>
      </c>
      <c r="M148" s="147">
        <f t="shared" si="110"/>
        <v>0.2965889212827989</v>
      </c>
      <c r="N148" s="147">
        <f t="shared" si="110"/>
        <v>0.31802096985583228</v>
      </c>
      <c r="O148" s="147">
        <f t="shared" si="110"/>
        <v>0.30127999999999999</v>
      </c>
      <c r="P148" s="147">
        <f t="shared" si="110"/>
        <v>0.30367588932806328</v>
      </c>
      <c r="Q148" s="147">
        <f t="shared" si="110"/>
        <v>0.29488829311885617</v>
      </c>
      <c r="R148" s="147">
        <f t="shared" si="110"/>
        <v>0.22745777027027025</v>
      </c>
      <c r="S148" s="147">
        <f t="shared" si="110"/>
        <v>0.26800436999271665</v>
      </c>
      <c r="T148" s="147">
        <f t="shared" si="110"/>
        <v>0.27901924270639356</v>
      </c>
      <c r="U148" s="147">
        <f t="shared" si="110"/>
        <v>0.29248322147651012</v>
      </c>
      <c r="V148" s="147">
        <f t="shared" si="110"/>
        <v>0.21010638297872336</v>
      </c>
      <c r="W148" s="147">
        <f t="shared" si="110"/>
        <v>6.4723427331887212E-2</v>
      </c>
      <c r="X148" s="147"/>
      <c r="Y148" s="147">
        <f t="shared" si="110"/>
        <v>0.15412290502793297</v>
      </c>
      <c r="Z148" s="147">
        <f t="shared" si="110"/>
        <v>0.17507389162561576</v>
      </c>
      <c r="AA148" s="147">
        <f t="shared" si="110"/>
        <v>0.22232066376369924</v>
      </c>
      <c r="AB148" s="147"/>
      <c r="AC148" s="147"/>
      <c r="AD148" s="147"/>
      <c r="AE148" s="147"/>
      <c r="AF148" s="147"/>
      <c r="AG148" s="301"/>
      <c r="AH148" s="301"/>
      <c r="AI148" s="301"/>
    </row>
    <row r="149" spans="2:55" x14ac:dyDescent="0.5">
      <c r="AG149" s="316"/>
      <c r="AH149" s="316"/>
      <c r="AI149" s="316"/>
    </row>
    <row r="150" spans="2:55" x14ac:dyDescent="0.5">
      <c r="B150" s="146" t="s">
        <v>217</v>
      </c>
      <c r="G150" s="161">
        <f>G63/G3</f>
        <v>2.9435857805255029E-2</v>
      </c>
      <c r="H150" s="161"/>
      <c r="I150" s="161"/>
      <c r="J150" s="161"/>
      <c r="K150" s="161">
        <f t="shared" ref="K150:AA150" si="111">K63/K3</f>
        <v>2.6233934550167405E-2</v>
      </c>
      <c r="L150" s="161">
        <f t="shared" si="111"/>
        <v>2.4244505494505492E-2</v>
      </c>
      <c r="M150" s="161">
        <f t="shared" si="111"/>
        <v>2.0112582781456955E-2</v>
      </c>
      <c r="N150" s="161">
        <f t="shared" si="111"/>
        <v>2.1970905172413797E-2</v>
      </c>
      <c r="O150" s="161">
        <f t="shared" si="111"/>
        <v>2.1910646387832699E-2</v>
      </c>
      <c r="P150" s="161">
        <f t="shared" si="111"/>
        <v>2.1413892314015619E-2</v>
      </c>
      <c r="Q150" s="161">
        <f t="shared" si="111"/>
        <v>2.070958302852963E-2</v>
      </c>
      <c r="R150" s="161">
        <f t="shared" si="111"/>
        <v>1.7575546116504852E-2</v>
      </c>
      <c r="S150" s="161">
        <f t="shared" si="111"/>
        <v>1.8270844991606045E-2</v>
      </c>
      <c r="T150" s="161">
        <f t="shared" si="111"/>
        <v>1.7082094671849991E-2</v>
      </c>
      <c r="U150" s="161">
        <f t="shared" si="111"/>
        <v>1.7074924209614553E-2</v>
      </c>
      <c r="V150" s="161">
        <f t="shared" si="111"/>
        <v>1.480123626848614E-2</v>
      </c>
      <c r="W150" s="161">
        <f t="shared" si="111"/>
        <v>1.2977356471475455E-2</v>
      </c>
      <c r="X150" s="161"/>
      <c r="Y150" s="161">
        <f t="shared" si="111"/>
        <v>1.3741594827586209E-2</v>
      </c>
      <c r="Z150" s="161">
        <f t="shared" si="111"/>
        <v>1.325606617647059E-2</v>
      </c>
      <c r="AA150" s="161">
        <f t="shared" si="111"/>
        <v>1.4297207771951042E-2</v>
      </c>
      <c r="AB150" s="161"/>
      <c r="AC150" s="161"/>
      <c r="AD150" s="161"/>
      <c r="AE150" s="161"/>
      <c r="AF150" s="161"/>
      <c r="AG150" s="315"/>
      <c r="AH150" s="315"/>
      <c r="AI150" s="315"/>
    </row>
    <row r="151" spans="2:55" x14ac:dyDescent="0.5">
      <c r="AH151" s="301"/>
      <c r="AI151" s="301"/>
    </row>
    <row r="152" spans="2:55" x14ac:dyDescent="0.5">
      <c r="AH152" s="302"/>
      <c r="AI152" s="304"/>
    </row>
    <row r="153" spans="2:55" x14ac:dyDescent="0.5">
      <c r="B153" s="146" t="s">
        <v>0</v>
      </c>
      <c r="C153" s="152" t="str">
        <f>K2</f>
        <v>Q1 21</v>
      </c>
      <c r="D153" s="152" t="str">
        <f>L2</f>
        <v>Q2 21</v>
      </c>
      <c r="E153" s="152" t="str">
        <f>M2</f>
        <v>Q3 21</v>
      </c>
      <c r="F153" s="152" t="str">
        <f>N2</f>
        <v>Q4 21</v>
      </c>
      <c r="G153" s="152" t="e">
        <f>#REF!</f>
        <v>#REF!</v>
      </c>
      <c r="H153" s="152" t="e">
        <f>#REF!</f>
        <v>#REF!</v>
      </c>
      <c r="AH153" s="303"/>
      <c r="AI153" s="303"/>
    </row>
    <row r="154" spans="2:55" x14ac:dyDescent="0.5">
      <c r="AH154" s="303"/>
      <c r="AI154" s="303"/>
    </row>
    <row r="155" spans="2:55" x14ac:dyDescent="0.5">
      <c r="AH155" s="303"/>
      <c r="AI155" s="303"/>
    </row>
    <row r="156" spans="2:55" x14ac:dyDescent="0.5">
      <c r="B156" s="167" t="s">
        <v>836</v>
      </c>
      <c r="C156" s="168"/>
      <c r="D156" s="168"/>
      <c r="E156" s="168"/>
      <c r="F156" s="168"/>
      <c r="G156" s="168"/>
      <c r="H156" s="168"/>
      <c r="I156" s="168"/>
      <c r="J156" s="168"/>
      <c r="K156" s="168"/>
      <c r="L156" s="168"/>
      <c r="M156" s="168"/>
      <c r="N156" s="168"/>
      <c r="O156" s="168"/>
      <c r="P156" s="168"/>
      <c r="Q156" s="168"/>
      <c r="R156" s="168"/>
      <c r="S156" s="168"/>
      <c r="T156" s="168"/>
      <c r="U156" s="168"/>
      <c r="V156" s="168"/>
      <c r="W156" s="168"/>
      <c r="AH156" s="303"/>
      <c r="AI156" s="303"/>
    </row>
    <row r="157" spans="2:55" x14ac:dyDescent="0.5">
      <c r="B157" s="146" t="s">
        <v>837</v>
      </c>
      <c r="C157" s="166">
        <f t="shared" ref="C157:O157" si="112">1-C158</f>
        <v>1</v>
      </c>
      <c r="D157" s="166">
        <f t="shared" si="112"/>
        <v>1</v>
      </c>
      <c r="E157" s="166">
        <f t="shared" si="112"/>
        <v>1</v>
      </c>
      <c r="F157" s="166">
        <f t="shared" si="112"/>
        <v>1</v>
      </c>
      <c r="G157" s="166">
        <f t="shared" si="112"/>
        <v>1</v>
      </c>
      <c r="H157" s="166">
        <f t="shared" si="112"/>
        <v>1</v>
      </c>
      <c r="I157" s="166">
        <f t="shared" si="112"/>
        <v>1</v>
      </c>
      <c r="J157" s="166">
        <f t="shared" si="112"/>
        <v>1</v>
      </c>
      <c r="K157" s="166">
        <f t="shared" si="112"/>
        <v>1</v>
      </c>
      <c r="L157" s="166">
        <f t="shared" si="112"/>
        <v>1</v>
      </c>
      <c r="M157" s="166">
        <f t="shared" si="112"/>
        <v>0.91</v>
      </c>
      <c r="N157" s="166">
        <f t="shared" si="112"/>
        <v>0.91</v>
      </c>
      <c r="O157" s="166">
        <f t="shared" si="112"/>
        <v>0.89</v>
      </c>
      <c r="P157" s="166">
        <f>1-P158</f>
        <v>0.87</v>
      </c>
      <c r="Q157" s="166">
        <f>1-Q158</f>
        <v>0.78</v>
      </c>
      <c r="R157" s="166">
        <f>R161/R35</f>
        <v>0.7846283783783784</v>
      </c>
      <c r="S157" s="166">
        <f>S161/S35</f>
        <v>0.71522214129643114</v>
      </c>
      <c r="T157" s="166">
        <f>T161/T35</f>
        <v>0.78770949720670402</v>
      </c>
      <c r="U157" s="166">
        <f>U161/U35</f>
        <v>0.82977425259304449</v>
      </c>
      <c r="V157" s="166">
        <f>V161/V35</f>
        <v>0.69946808510638314</v>
      </c>
      <c r="W157" s="166"/>
      <c r="X157" s="166"/>
      <c r="AH157" s="303"/>
      <c r="AI157" s="303"/>
    </row>
    <row r="158" spans="2:55" x14ac:dyDescent="0.5">
      <c r="B158" s="146" t="s">
        <v>838</v>
      </c>
      <c r="C158" s="166"/>
      <c r="D158" s="166"/>
      <c r="E158" s="166"/>
      <c r="F158" s="166"/>
      <c r="G158" s="166"/>
      <c r="H158" s="166"/>
      <c r="I158" s="166"/>
      <c r="J158" s="166"/>
      <c r="K158" s="166"/>
      <c r="L158" s="166"/>
      <c r="M158" s="166">
        <v>0.09</v>
      </c>
      <c r="N158" s="166">
        <v>0.09</v>
      </c>
      <c r="O158" s="166">
        <v>0.11</v>
      </c>
      <c r="P158" s="166">
        <v>0.13</v>
      </c>
      <c r="Q158" s="166">
        <v>0.22</v>
      </c>
      <c r="R158" s="166">
        <f>1-R157</f>
        <v>0.2153716216216216</v>
      </c>
      <c r="S158" s="166">
        <f>1-S157</f>
        <v>0.28477785870356886</v>
      </c>
      <c r="T158" s="166">
        <f>1-T157</f>
        <v>0.21229050279329598</v>
      </c>
      <c r="U158" s="166">
        <f>1-U157</f>
        <v>0.17022574740695551</v>
      </c>
      <c r="V158" s="166">
        <f>1-V157</f>
        <v>0.30053191489361686</v>
      </c>
      <c r="W158" s="166"/>
      <c r="X158" s="166"/>
      <c r="AH158" s="303"/>
      <c r="AI158" s="303"/>
    </row>
    <row r="159" spans="2:55" x14ac:dyDescent="0.5">
      <c r="Q159" s="146">
        <f>Q160-Q161</f>
        <v>6.9250799999999941</v>
      </c>
      <c r="AH159" s="303"/>
      <c r="AI159" s="303"/>
    </row>
    <row r="160" spans="2:55" x14ac:dyDescent="0.5">
      <c r="B160" s="167" t="s">
        <v>836</v>
      </c>
      <c r="Q160" s="146">
        <f>P161*1.07</f>
        <v>94.207080000000005</v>
      </c>
      <c r="AH160" s="303"/>
      <c r="AI160" s="303"/>
    </row>
    <row r="161" spans="2:35" x14ac:dyDescent="0.5">
      <c r="B161" s="146" t="str">
        <f>B157</f>
        <v>LATAM</v>
      </c>
      <c r="M161" s="159">
        <f>M157*M35</f>
        <v>62.425999999999995</v>
      </c>
      <c r="N161" s="159">
        <f>N157*N35</f>
        <v>69.432999999999993</v>
      </c>
      <c r="O161" s="159">
        <f>O157*O35</f>
        <v>77.875</v>
      </c>
      <c r="P161" s="159">
        <f>P157*P35</f>
        <v>88.043999999999997</v>
      </c>
      <c r="Q161" s="159">
        <f>Q157*Q35</f>
        <v>87.282000000000011</v>
      </c>
      <c r="R161" s="159">
        <v>92.9</v>
      </c>
      <c r="S161" s="159">
        <f>S29</f>
        <v>98.2</v>
      </c>
      <c r="T161" s="159">
        <f>T29</f>
        <v>126.9</v>
      </c>
      <c r="U161" s="159">
        <f>U29</f>
        <v>136</v>
      </c>
      <c r="V161" s="159">
        <f>V29</f>
        <v>131.50000000000003</v>
      </c>
      <c r="W161" s="159"/>
      <c r="X161" s="159"/>
      <c r="AH161" s="303"/>
      <c r="AI161" s="303"/>
    </row>
    <row r="162" spans="2:35" x14ac:dyDescent="0.5">
      <c r="B162" s="146" t="str">
        <f>B158</f>
        <v>EX-LATAM</v>
      </c>
      <c r="M162" s="159">
        <f t="shared" ref="M162:V162" si="113">M35-M161</f>
        <v>6.1739999999999995</v>
      </c>
      <c r="N162" s="159">
        <f t="shared" si="113"/>
        <v>6.8670000000000044</v>
      </c>
      <c r="O162" s="159">
        <f t="shared" si="113"/>
        <v>9.625</v>
      </c>
      <c r="P162" s="159">
        <f t="shared" si="113"/>
        <v>13.156000000000006</v>
      </c>
      <c r="Q162" s="159">
        <f t="shared" si="113"/>
        <v>24.617999999999995</v>
      </c>
      <c r="R162" s="159">
        <f t="shared" si="113"/>
        <v>25.5</v>
      </c>
      <c r="S162" s="159">
        <f t="shared" si="113"/>
        <v>39.100000000000009</v>
      </c>
      <c r="T162" s="159">
        <f t="shared" si="113"/>
        <v>34.199999999999989</v>
      </c>
      <c r="U162" s="159">
        <f t="shared" si="113"/>
        <v>27.900000000000006</v>
      </c>
      <c r="V162" s="159">
        <f t="shared" si="113"/>
        <v>56.499999999999972</v>
      </c>
      <c r="W162" s="159"/>
      <c r="X162" s="159"/>
      <c r="AH162" s="303"/>
      <c r="AI162" s="303"/>
    </row>
    <row r="163" spans="2:35" x14ac:dyDescent="0.5">
      <c r="P163" s="159">
        <f>P162-O162</f>
        <v>3.5310000000000059</v>
      </c>
      <c r="Q163" s="159">
        <f>Q162-P162</f>
        <v>11.461999999999989</v>
      </c>
      <c r="R163" s="159"/>
      <c r="S163" s="159"/>
      <c r="T163" s="159"/>
      <c r="U163" s="159"/>
      <c r="V163" s="159"/>
      <c r="AH163" s="303"/>
      <c r="AI163" s="303"/>
    </row>
    <row r="164" spans="2:35" x14ac:dyDescent="0.5">
      <c r="B164" s="167" t="s">
        <v>839</v>
      </c>
      <c r="C164" s="168"/>
      <c r="D164" s="168"/>
      <c r="E164" s="168"/>
      <c r="F164" s="168"/>
      <c r="G164" s="168"/>
      <c r="H164" s="168"/>
      <c r="I164" s="168"/>
      <c r="J164" s="168"/>
      <c r="K164" s="168"/>
      <c r="L164" s="168"/>
      <c r="M164" s="168"/>
      <c r="N164" s="168"/>
      <c r="O164" s="168"/>
      <c r="P164" s="168"/>
      <c r="Q164" s="168"/>
      <c r="R164" s="168"/>
      <c r="S164" s="168"/>
      <c r="T164" s="168"/>
      <c r="U164" s="168"/>
      <c r="V164" s="168"/>
      <c r="W164" s="168"/>
      <c r="AH164" s="303"/>
      <c r="AI164" s="303"/>
    </row>
    <row r="165" spans="2:35" x14ac:dyDescent="0.5">
      <c r="B165" s="146" t="s">
        <v>840</v>
      </c>
      <c r="C165" s="166"/>
      <c r="D165" s="166"/>
      <c r="E165" s="166"/>
      <c r="F165" s="166"/>
      <c r="G165" s="166"/>
      <c r="H165" s="166"/>
      <c r="I165" s="166"/>
      <c r="J165" s="166"/>
      <c r="K165" s="166"/>
      <c r="L165" s="166">
        <f>1-L166</f>
        <v>0.37</v>
      </c>
      <c r="M165" s="166">
        <f>1-M166</f>
        <v>1</v>
      </c>
      <c r="N165" s="166">
        <f>1-N166</f>
        <v>0.56000000000000005</v>
      </c>
      <c r="O165" s="166">
        <f>1-O166</f>
        <v>0.48</v>
      </c>
      <c r="P165" s="166">
        <f>1-P166</f>
        <v>0.51</v>
      </c>
      <c r="Q165" s="166">
        <v>0.53</v>
      </c>
      <c r="R165" s="166">
        <v>0.55000000000000004</v>
      </c>
      <c r="S165" s="166">
        <v>0.57999999999999996</v>
      </c>
      <c r="T165" s="166">
        <v>0.59</v>
      </c>
      <c r="U165" s="166">
        <v>0.6</v>
      </c>
      <c r="V165" s="166">
        <v>0.68</v>
      </c>
      <c r="W165" s="166"/>
      <c r="X165" s="166"/>
      <c r="AH165" s="304"/>
      <c r="AI165" s="304"/>
    </row>
    <row r="166" spans="2:35" x14ac:dyDescent="0.5">
      <c r="B166" s="146" t="s">
        <v>63</v>
      </c>
      <c r="C166" s="166"/>
      <c r="D166" s="166"/>
      <c r="E166" s="166"/>
      <c r="F166" s="166"/>
      <c r="G166" s="166"/>
      <c r="H166" s="166"/>
      <c r="I166" s="166"/>
      <c r="J166" s="166"/>
      <c r="K166" s="166"/>
      <c r="L166" s="166">
        <v>0.63</v>
      </c>
      <c r="M166" s="166"/>
      <c r="N166" s="166">
        <v>0.44</v>
      </c>
      <c r="O166" s="166">
        <v>0.52</v>
      </c>
      <c r="P166" s="166">
        <v>0.49</v>
      </c>
      <c r="Q166" s="166"/>
      <c r="R166" s="166"/>
      <c r="S166" s="166"/>
      <c r="T166" s="166"/>
      <c r="U166" s="166"/>
      <c r="V166" s="166"/>
      <c r="W166" s="166"/>
      <c r="X166" s="166"/>
      <c r="AH166" s="304"/>
      <c r="AI166" s="304"/>
    </row>
    <row r="167" spans="2:35" x14ac:dyDescent="0.5">
      <c r="AH167" s="304"/>
      <c r="AI167" s="304"/>
    </row>
    <row r="168" spans="2:35" x14ac:dyDescent="0.5">
      <c r="B168" s="167" t="s">
        <v>842</v>
      </c>
      <c r="M168" s="154">
        <v>35</v>
      </c>
      <c r="N168" s="154">
        <v>35</v>
      </c>
      <c r="O168" s="154">
        <v>37</v>
      </c>
      <c r="P168" s="154">
        <v>37</v>
      </c>
      <c r="Q168" s="154"/>
      <c r="R168" s="154"/>
      <c r="S168" s="154"/>
      <c r="T168" s="154"/>
      <c r="U168" s="154"/>
      <c r="V168" s="154"/>
      <c r="W168" s="154"/>
      <c r="X168" s="154"/>
      <c r="AH168" s="304"/>
      <c r="AI168" s="304"/>
    </row>
    <row r="169" spans="2:35" x14ac:dyDescent="0.5">
      <c r="B169" s="146" t="s">
        <v>837</v>
      </c>
      <c r="M169" s="146">
        <f>M168-M170</f>
        <v>15</v>
      </c>
      <c r="N169" s="146">
        <f>N168-N170</f>
        <v>15</v>
      </c>
      <c r="O169" s="146">
        <f>O168-O170</f>
        <v>15</v>
      </c>
      <c r="P169" s="146">
        <f>P168-P170</f>
        <v>15</v>
      </c>
      <c r="Q169" s="146">
        <f>Q168-Q170</f>
        <v>0</v>
      </c>
      <c r="AH169" s="304"/>
      <c r="AI169" s="304"/>
    </row>
    <row r="170" spans="2:35" x14ac:dyDescent="0.5">
      <c r="B170" s="146" t="s">
        <v>843</v>
      </c>
      <c r="M170" s="146">
        <v>20</v>
      </c>
      <c r="N170" s="146">
        <v>20</v>
      </c>
      <c r="O170" s="146">
        <v>22</v>
      </c>
      <c r="P170" s="146">
        <v>22</v>
      </c>
      <c r="AH170" s="304"/>
      <c r="AI170" s="304"/>
    </row>
    <row r="171" spans="2:35" x14ac:dyDescent="0.5">
      <c r="AH171" s="304"/>
      <c r="AI171" s="304"/>
    </row>
    <row r="172" spans="2:35" ht="14.4" thickBot="1" x14ac:dyDescent="0.55000000000000004">
      <c r="AH172" s="305"/>
      <c r="AI172" s="317"/>
    </row>
    <row r="173" spans="2:35" ht="14.4" thickTop="1" x14ac:dyDescent="0.5">
      <c r="B173" s="167" t="s">
        <v>841</v>
      </c>
      <c r="L173" s="146">
        <v>427</v>
      </c>
      <c r="M173" s="146">
        <v>532</v>
      </c>
      <c r="N173" s="146">
        <v>535</v>
      </c>
      <c r="O173" s="146">
        <v>562</v>
      </c>
      <c r="P173" s="146">
        <v>632</v>
      </c>
      <c r="Q173" s="146">
        <v>712</v>
      </c>
      <c r="R173" s="146">
        <v>726</v>
      </c>
      <c r="S173" s="146">
        <v>763</v>
      </c>
      <c r="T173" s="146">
        <v>806</v>
      </c>
      <c r="U173" s="146">
        <v>867</v>
      </c>
      <c r="AH173" s="306"/>
      <c r="AI173" s="306"/>
    </row>
    <row r="174" spans="2:35" x14ac:dyDescent="0.5">
      <c r="AH174" s="306"/>
      <c r="AI174" s="306"/>
    </row>
    <row r="175" spans="2:35" x14ac:dyDescent="0.5">
      <c r="AH175" s="306"/>
      <c r="AI175" s="306"/>
    </row>
    <row r="176" spans="2:35" x14ac:dyDescent="0.5">
      <c r="AH176" s="306"/>
      <c r="AI176" s="306"/>
    </row>
    <row r="177" spans="2:35" x14ac:dyDescent="0.5">
      <c r="AH177" s="306"/>
      <c r="AI177" s="306"/>
    </row>
    <row r="178" spans="2:35" x14ac:dyDescent="0.5">
      <c r="AH178" s="307"/>
      <c r="AI178" s="307"/>
    </row>
    <row r="179" spans="2:35" x14ac:dyDescent="0.5">
      <c r="B179" s="148" t="s">
        <v>145</v>
      </c>
      <c r="C179" s="168"/>
      <c r="D179" s="168"/>
      <c r="E179" s="168"/>
      <c r="F179" s="168"/>
      <c r="G179" s="168"/>
      <c r="H179" s="168"/>
      <c r="I179" s="168"/>
      <c r="J179" s="168"/>
      <c r="K179" s="168"/>
      <c r="L179" s="168"/>
      <c r="M179" s="168"/>
      <c r="N179" s="168"/>
      <c r="O179" s="168"/>
      <c r="P179" s="168"/>
      <c r="Q179" s="168"/>
      <c r="R179" s="168"/>
      <c r="S179" s="168"/>
      <c r="T179" s="168"/>
      <c r="W179" s="168"/>
      <c r="AH179" s="306"/>
      <c r="AI179" s="306"/>
    </row>
    <row r="180" spans="2:35" x14ac:dyDescent="0.5">
      <c r="B180" s="154" t="s">
        <v>921</v>
      </c>
      <c r="AH180" s="307"/>
      <c r="AI180" s="307"/>
    </row>
    <row r="181" spans="2:35" x14ac:dyDescent="0.5">
      <c r="B181" s="206" t="s">
        <v>922</v>
      </c>
      <c r="AH181" s="307"/>
      <c r="AI181" s="307"/>
    </row>
    <row r="182" spans="2:35" x14ac:dyDescent="0.5">
      <c r="B182" s="207" t="s">
        <v>923</v>
      </c>
      <c r="C182" s="211">
        <v>13.432</v>
      </c>
      <c r="D182" s="211">
        <v>15.404</v>
      </c>
      <c r="E182" s="211">
        <v>26.09</v>
      </c>
      <c r="F182" s="211">
        <v>34.765000000000001</v>
      </c>
      <c r="G182" s="211">
        <v>31.832999999999998</v>
      </c>
      <c r="H182" s="211">
        <v>33.734000000000002</v>
      </c>
      <c r="I182" s="211">
        <v>60.014000000000003</v>
      </c>
      <c r="J182" s="211">
        <v>111.733</v>
      </c>
      <c r="K182" s="211">
        <v>127.501</v>
      </c>
      <c r="L182" s="211">
        <v>265.95400000000001</v>
      </c>
      <c r="M182" s="211">
        <v>293.05500000000001</v>
      </c>
      <c r="N182" s="211">
        <v>336.20100000000002</v>
      </c>
      <c r="O182" s="211">
        <v>410.06400000000002</v>
      </c>
      <c r="P182" s="211">
        <v>453.98500000000001</v>
      </c>
      <c r="Q182" s="211">
        <v>542.298</v>
      </c>
      <c r="R182" s="211">
        <v>468.09</v>
      </c>
      <c r="S182" s="211">
        <v>517.9</v>
      </c>
      <c r="T182" s="211">
        <v>549</v>
      </c>
      <c r="U182" s="211"/>
      <c r="V182" s="211"/>
      <c r="W182" s="211"/>
      <c r="X182" s="211"/>
      <c r="AH182" s="308"/>
      <c r="AI182" s="306"/>
    </row>
    <row r="183" spans="2:35" x14ac:dyDescent="0.5">
      <c r="B183" s="207" t="s">
        <v>924</v>
      </c>
      <c r="C183" s="211">
        <v>3.7650000000000001</v>
      </c>
      <c r="D183" s="211">
        <v>6.9539999999999997</v>
      </c>
      <c r="E183" s="211">
        <v>6.5650000000000004</v>
      </c>
      <c r="F183" s="211">
        <v>15.398999999999999</v>
      </c>
      <c r="G183" s="211">
        <v>17.491</v>
      </c>
      <c r="H183" s="211">
        <v>35.344999999999999</v>
      </c>
      <c r="I183" s="211">
        <v>23.498000000000001</v>
      </c>
      <c r="J183" s="211">
        <v>8.3190000000000008</v>
      </c>
      <c r="K183" s="211">
        <v>1.2609999999999999</v>
      </c>
      <c r="L183" s="211">
        <v>1.26</v>
      </c>
      <c r="M183" s="211">
        <v>1.0660000000000001</v>
      </c>
      <c r="N183" s="211">
        <v>1.004</v>
      </c>
      <c r="O183" s="211">
        <v>1.286</v>
      </c>
      <c r="P183" s="211">
        <v>1.0649999999999999</v>
      </c>
      <c r="Q183" s="211">
        <v>1.0649999999999999</v>
      </c>
      <c r="R183" s="211">
        <v>1.2949999999999999</v>
      </c>
      <c r="S183" s="211">
        <v>0.33900000000000002</v>
      </c>
      <c r="T183" s="211">
        <v>52</v>
      </c>
      <c r="U183" s="211"/>
      <c r="V183" s="211"/>
      <c r="W183" s="211"/>
      <c r="X183" s="211"/>
      <c r="AH183" s="307"/>
      <c r="AI183" s="307"/>
    </row>
    <row r="184" spans="2:35" x14ac:dyDescent="0.5">
      <c r="B184" s="207" t="s">
        <v>954</v>
      </c>
      <c r="C184" s="211">
        <v>29.263999999999999</v>
      </c>
      <c r="D184" s="211">
        <v>27.555</v>
      </c>
      <c r="E184" s="211">
        <v>27.44</v>
      </c>
      <c r="F184" s="211">
        <v>25.939</v>
      </c>
      <c r="G184" s="211">
        <v>20.709</v>
      </c>
      <c r="H184" s="211">
        <v>27.372</v>
      </c>
      <c r="I184" s="211">
        <v>61.98</v>
      </c>
      <c r="J184" s="211">
        <v>72.784999999999997</v>
      </c>
      <c r="K184" s="211">
        <v>92.945999999999998</v>
      </c>
      <c r="L184" s="211">
        <v>173.97900000000001</v>
      </c>
      <c r="M184" s="211">
        <v>167.6</v>
      </c>
      <c r="N184" s="211">
        <v>190.96600000000001</v>
      </c>
      <c r="O184" s="211">
        <v>217.191</v>
      </c>
      <c r="P184" s="211">
        <v>197.548</v>
      </c>
      <c r="Q184" s="211">
        <v>228.89500000000001</v>
      </c>
      <c r="R184" s="211">
        <v>240.5</v>
      </c>
      <c r="S184" s="211">
        <v>249.3</v>
      </c>
      <c r="T184" s="211">
        <v>299</v>
      </c>
      <c r="U184" s="211"/>
      <c r="V184" s="211"/>
      <c r="W184" s="211"/>
      <c r="X184" s="211"/>
      <c r="AH184" s="306"/>
      <c r="AI184" s="306"/>
    </row>
    <row r="185" spans="2:35" x14ac:dyDescent="0.5">
      <c r="B185" s="207" t="s">
        <v>925</v>
      </c>
      <c r="C185" s="211"/>
      <c r="D185" s="211"/>
      <c r="E185" s="211"/>
      <c r="F185" s="211"/>
      <c r="G185" s="211"/>
      <c r="H185" s="211"/>
      <c r="I185" s="211"/>
      <c r="J185" s="211"/>
      <c r="K185" s="211"/>
      <c r="L185" s="211"/>
      <c r="M185" s="211"/>
      <c r="N185" s="211">
        <v>0</v>
      </c>
      <c r="O185" s="211">
        <v>0</v>
      </c>
      <c r="P185" s="211">
        <v>0.78200000000000003</v>
      </c>
      <c r="Q185" s="211">
        <v>0.65700000000000003</v>
      </c>
      <c r="R185" s="211">
        <v>1.2</v>
      </c>
      <c r="S185" s="211">
        <v>3.2000000000000001E-2</v>
      </c>
      <c r="T185" s="211">
        <v>1.2</v>
      </c>
      <c r="U185" s="211"/>
      <c r="V185" s="211"/>
      <c r="W185" s="211"/>
      <c r="X185" s="211"/>
      <c r="AH185" s="306"/>
      <c r="AI185" s="306"/>
    </row>
    <row r="186" spans="2:35" x14ac:dyDescent="0.5">
      <c r="B186" s="208" t="s">
        <v>926</v>
      </c>
      <c r="C186" s="212"/>
      <c r="D186" s="212"/>
      <c r="E186" s="212"/>
      <c r="F186" s="212">
        <v>1.113</v>
      </c>
      <c r="G186" s="212">
        <v>1.1359999999999999</v>
      </c>
      <c r="H186" s="212">
        <v>1.1359999999999999</v>
      </c>
      <c r="I186" s="212">
        <v>1.1359999999999999</v>
      </c>
      <c r="J186" s="212">
        <v>2.0169999999999999</v>
      </c>
      <c r="K186" s="212">
        <f>41.249+149.41</f>
        <v>190.65899999999999</v>
      </c>
      <c r="L186" s="212">
        <v>1.758</v>
      </c>
      <c r="M186" s="212">
        <v>1.825</v>
      </c>
      <c r="N186" s="212">
        <v>1.339</v>
      </c>
      <c r="O186" s="212">
        <v>1.1879999999999999</v>
      </c>
      <c r="P186" s="212">
        <v>1.6879999999999999</v>
      </c>
      <c r="Q186" s="212">
        <v>3.9369999999999998</v>
      </c>
      <c r="R186" s="212">
        <v>56.8</v>
      </c>
      <c r="S186" s="212">
        <v>43</v>
      </c>
      <c r="T186" s="212">
        <v>45</v>
      </c>
      <c r="U186" s="211"/>
      <c r="V186" s="211"/>
      <c r="W186" s="212"/>
      <c r="X186" s="211"/>
      <c r="AH186" s="309"/>
      <c r="AI186" s="307"/>
    </row>
    <row r="187" spans="2:35" x14ac:dyDescent="0.5">
      <c r="B187" s="206" t="s">
        <v>927</v>
      </c>
      <c r="C187" s="213">
        <f>SUM(C182:C186)</f>
        <v>46.460999999999999</v>
      </c>
      <c r="D187" s="213">
        <f t="shared" ref="D187:R187" si="114">SUM(D182:D186)</f>
        <v>49.912999999999997</v>
      </c>
      <c r="E187" s="213">
        <f t="shared" si="114"/>
        <v>60.094999999999999</v>
      </c>
      <c r="F187" s="213">
        <f t="shared" si="114"/>
        <v>77.216000000000008</v>
      </c>
      <c r="G187" s="213">
        <f t="shared" si="114"/>
        <v>71.168999999999997</v>
      </c>
      <c r="H187" s="213">
        <f t="shared" si="114"/>
        <v>97.587000000000003</v>
      </c>
      <c r="I187" s="213">
        <f t="shared" si="114"/>
        <v>146.62799999999999</v>
      </c>
      <c r="J187" s="213">
        <f t="shared" si="114"/>
        <v>194.85399999999998</v>
      </c>
      <c r="K187" s="213">
        <f t="shared" si="114"/>
        <v>412.36699999999996</v>
      </c>
      <c r="L187" s="213">
        <f t="shared" si="114"/>
        <v>442.95099999999996</v>
      </c>
      <c r="M187" s="213">
        <f t="shared" si="114"/>
        <v>463.54599999999999</v>
      </c>
      <c r="N187" s="213">
        <f t="shared" si="114"/>
        <v>529.5100000000001</v>
      </c>
      <c r="O187" s="213">
        <f t="shared" si="114"/>
        <v>629.72900000000004</v>
      </c>
      <c r="P187" s="213">
        <f t="shared" si="114"/>
        <v>655.06799999999998</v>
      </c>
      <c r="Q187" s="213">
        <f t="shared" si="114"/>
        <v>776.85200000000009</v>
      </c>
      <c r="R187" s="213">
        <f t="shared" si="114"/>
        <v>767.88499999999999</v>
      </c>
      <c r="S187" s="213">
        <f>SUM(S182:S186)</f>
        <v>810.57100000000003</v>
      </c>
      <c r="T187" s="213">
        <f>SUM(T182:T186)</f>
        <v>946.2</v>
      </c>
      <c r="U187" s="213"/>
      <c r="V187" s="213"/>
      <c r="W187" s="213"/>
      <c r="X187" s="213"/>
      <c r="AH187" s="306"/>
      <c r="AI187" s="306"/>
    </row>
    <row r="188" spans="2:35" x14ac:dyDescent="0.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AH188" s="306"/>
      <c r="AI188" s="306"/>
    </row>
    <row r="189" spans="2:35" x14ac:dyDescent="0.5">
      <c r="B189" s="206" t="s">
        <v>928</v>
      </c>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AH189" s="307"/>
      <c r="AI189" s="307"/>
    </row>
    <row r="190" spans="2:35" x14ac:dyDescent="0.5">
      <c r="B190" s="207" t="s">
        <v>929</v>
      </c>
      <c r="C190" s="211">
        <v>0.91800000000000004</v>
      </c>
      <c r="D190" s="211">
        <v>0.92300000000000004</v>
      </c>
      <c r="E190" s="211">
        <v>0.92600000000000005</v>
      </c>
      <c r="F190" s="211">
        <v>1.6E-2</v>
      </c>
      <c r="G190" s="211">
        <v>1.9E-2</v>
      </c>
      <c r="H190" s="211">
        <v>5.3999999999999999E-2</v>
      </c>
      <c r="I190" s="211">
        <v>2.1000000000000001E-2</v>
      </c>
      <c r="J190" s="211">
        <v>0.216</v>
      </c>
      <c r="K190" s="211">
        <v>0.13700000000000001</v>
      </c>
      <c r="L190" s="211">
        <v>7.5999999999999998E-2</v>
      </c>
      <c r="M190" s="211">
        <v>0.252</v>
      </c>
      <c r="N190" s="211">
        <v>0.13300000000000001</v>
      </c>
      <c r="O190" s="211">
        <v>0.57799999999999996</v>
      </c>
      <c r="P190" s="211">
        <v>0.441</v>
      </c>
      <c r="Q190" s="211">
        <v>1.101</v>
      </c>
      <c r="R190" s="211"/>
      <c r="S190" s="211"/>
      <c r="T190" s="211">
        <v>0.8</v>
      </c>
      <c r="U190" s="211"/>
      <c r="V190" s="211"/>
      <c r="W190" s="211"/>
      <c r="X190" s="211"/>
      <c r="AH190" s="301"/>
      <c r="AI190" s="301"/>
    </row>
    <row r="191" spans="2:35" x14ac:dyDescent="0.5">
      <c r="B191" s="207" t="s">
        <v>930</v>
      </c>
      <c r="C191" s="211"/>
      <c r="D191" s="211"/>
      <c r="E191" s="211"/>
      <c r="F191" s="211"/>
      <c r="G191" s="211"/>
      <c r="H191" s="211"/>
      <c r="I191" s="211"/>
      <c r="J191" s="211"/>
      <c r="K191" s="211"/>
      <c r="L191" s="211">
        <v>1.9610000000000001</v>
      </c>
      <c r="M191" s="211">
        <v>2.2429999999999999</v>
      </c>
      <c r="N191" s="211">
        <v>2.4849999999999999</v>
      </c>
      <c r="O191" s="211">
        <v>2.3769999999999998</v>
      </c>
      <c r="P191" s="211">
        <v>2.718</v>
      </c>
      <c r="Q191" s="211">
        <v>2.8140000000000001</v>
      </c>
      <c r="R191" s="211"/>
      <c r="S191" s="211"/>
      <c r="T191" s="211">
        <v>2.8</v>
      </c>
      <c r="U191" s="211"/>
      <c r="V191" s="211"/>
      <c r="W191" s="211"/>
      <c r="X191" s="211"/>
      <c r="AH191" s="301"/>
      <c r="AI191" s="301"/>
    </row>
    <row r="192" spans="2:35" x14ac:dyDescent="0.5">
      <c r="B192" s="207" t="s">
        <v>931</v>
      </c>
      <c r="C192" s="211">
        <v>0.51400000000000001</v>
      </c>
      <c r="D192" s="211">
        <v>0.46800000000000003</v>
      </c>
      <c r="E192" s="211">
        <v>0.42299999999999999</v>
      </c>
      <c r="F192" s="211">
        <v>0.37</v>
      </c>
      <c r="G192" s="211">
        <v>0.33200000000000002</v>
      </c>
      <c r="H192" s="211">
        <v>0.28699999999999998</v>
      </c>
      <c r="I192" s="211">
        <v>0.24199999999999999</v>
      </c>
      <c r="J192" s="211">
        <v>0.188</v>
      </c>
      <c r="K192" s="211">
        <v>0.151</v>
      </c>
      <c r="L192" s="211">
        <v>4.0830000000000002</v>
      </c>
      <c r="M192" s="211">
        <v>4.03</v>
      </c>
      <c r="N192" s="211">
        <v>3.915</v>
      </c>
      <c r="O192" s="211">
        <v>3.7989999999999999</v>
      </c>
      <c r="P192" s="211">
        <v>3.798</v>
      </c>
      <c r="Q192" s="211">
        <v>3.9380000000000002</v>
      </c>
      <c r="R192" s="211"/>
      <c r="S192" s="211"/>
      <c r="T192" s="211">
        <v>3.7</v>
      </c>
      <c r="U192" s="211"/>
      <c r="V192" s="211"/>
      <c r="W192" s="211"/>
      <c r="X192" s="211"/>
      <c r="AH192" s="310"/>
      <c r="AI192" s="310"/>
    </row>
    <row r="193" spans="2:35" x14ac:dyDescent="0.5">
      <c r="B193" s="208" t="s">
        <v>932</v>
      </c>
      <c r="C193" s="212"/>
      <c r="D193" s="212"/>
      <c r="E193" s="212"/>
      <c r="F193" s="212"/>
      <c r="G193" s="212"/>
      <c r="H193" s="212"/>
      <c r="I193" s="212"/>
      <c r="J193" s="212"/>
      <c r="K193" s="212">
        <v>6.2380000000000004</v>
      </c>
      <c r="L193" s="212">
        <v>44.621000000000002</v>
      </c>
      <c r="M193" s="212">
        <v>45.798999999999999</v>
      </c>
      <c r="N193" s="212">
        <v>46.969000000000001</v>
      </c>
      <c r="O193" s="212">
        <v>48.055999999999997</v>
      </c>
      <c r="P193" s="212">
        <v>48.679000000000002</v>
      </c>
      <c r="Q193" s="212">
        <v>49.85</v>
      </c>
      <c r="R193" s="211"/>
      <c r="S193" s="211"/>
      <c r="T193" s="212">
        <v>55</v>
      </c>
      <c r="U193" s="211"/>
      <c r="V193" s="211"/>
      <c r="W193" s="212"/>
      <c r="X193" s="211"/>
      <c r="AH193" s="301"/>
      <c r="AI193" s="301"/>
    </row>
    <row r="194" spans="2:35" x14ac:dyDescent="0.5">
      <c r="B194" s="206" t="s">
        <v>933</v>
      </c>
      <c r="C194" s="213">
        <f>SUM(C190:C193)</f>
        <v>1.4319999999999999</v>
      </c>
      <c r="D194" s="213">
        <f t="shared" ref="D194:Q194" si="115">SUM(D190:D193)</f>
        <v>1.391</v>
      </c>
      <c r="E194" s="213">
        <f t="shared" si="115"/>
        <v>1.349</v>
      </c>
      <c r="F194" s="213">
        <f t="shared" si="115"/>
        <v>0.38600000000000001</v>
      </c>
      <c r="G194" s="213">
        <f t="shared" si="115"/>
        <v>0.35100000000000003</v>
      </c>
      <c r="H194" s="213">
        <f t="shared" si="115"/>
        <v>0.34099999999999997</v>
      </c>
      <c r="I194" s="213">
        <f t="shared" si="115"/>
        <v>0.26300000000000001</v>
      </c>
      <c r="J194" s="213">
        <f t="shared" si="115"/>
        <v>0.40400000000000003</v>
      </c>
      <c r="K194" s="213">
        <f t="shared" si="115"/>
        <v>6.5260000000000007</v>
      </c>
      <c r="L194" s="213">
        <f t="shared" si="115"/>
        <v>50.741</v>
      </c>
      <c r="M194" s="213">
        <f t="shared" si="115"/>
        <v>52.323999999999998</v>
      </c>
      <c r="N194" s="213">
        <f t="shared" si="115"/>
        <v>53.502000000000002</v>
      </c>
      <c r="O194" s="213">
        <f t="shared" si="115"/>
        <v>54.809999999999995</v>
      </c>
      <c r="P194" s="213">
        <f t="shared" si="115"/>
        <v>55.636000000000003</v>
      </c>
      <c r="Q194" s="213">
        <f t="shared" si="115"/>
        <v>57.703000000000003</v>
      </c>
      <c r="R194" s="213"/>
      <c r="S194" s="213"/>
      <c r="T194" s="213">
        <f>SUM(T190:T193)</f>
        <v>62.3</v>
      </c>
      <c r="U194" s="213"/>
      <c r="V194" s="213"/>
      <c r="W194" s="213"/>
      <c r="X194" s="213"/>
      <c r="AH194" s="306"/>
      <c r="AI194" s="306"/>
    </row>
    <row r="195" spans="2:35" x14ac:dyDescent="0.5">
      <c r="B195" s="154" t="s">
        <v>934</v>
      </c>
      <c r="C195" s="213">
        <f>C194+C187</f>
        <v>47.893000000000001</v>
      </c>
      <c r="D195" s="213">
        <f t="shared" ref="D195:Q195" si="116">D194+D187</f>
        <v>51.303999999999995</v>
      </c>
      <c r="E195" s="213">
        <f t="shared" si="116"/>
        <v>61.443999999999996</v>
      </c>
      <c r="F195" s="213">
        <f t="shared" si="116"/>
        <v>77.602000000000004</v>
      </c>
      <c r="G195" s="213">
        <f t="shared" si="116"/>
        <v>71.52</v>
      </c>
      <c r="H195" s="213">
        <f t="shared" si="116"/>
        <v>97.927999999999997</v>
      </c>
      <c r="I195" s="213">
        <f t="shared" si="116"/>
        <v>146.89099999999999</v>
      </c>
      <c r="J195" s="213">
        <f t="shared" si="116"/>
        <v>195.25799999999998</v>
      </c>
      <c r="K195" s="213">
        <f t="shared" si="116"/>
        <v>418.89299999999997</v>
      </c>
      <c r="L195" s="213">
        <f t="shared" si="116"/>
        <v>493.69199999999995</v>
      </c>
      <c r="M195" s="213">
        <f t="shared" si="116"/>
        <v>515.87</v>
      </c>
      <c r="N195" s="213">
        <f t="shared" si="116"/>
        <v>583.01200000000006</v>
      </c>
      <c r="O195" s="213">
        <f t="shared" si="116"/>
        <v>684.53899999999999</v>
      </c>
      <c r="P195" s="213">
        <f t="shared" si="116"/>
        <v>710.70399999999995</v>
      </c>
      <c r="Q195" s="213">
        <f t="shared" si="116"/>
        <v>834.55500000000006</v>
      </c>
      <c r="R195" s="213"/>
      <c r="S195" s="213"/>
      <c r="T195" s="213">
        <f>T194+T187</f>
        <v>1008.5</v>
      </c>
      <c r="U195" s="213"/>
      <c r="V195" s="213"/>
      <c r="W195" s="213"/>
      <c r="X195" s="213"/>
      <c r="AH195" s="306"/>
      <c r="AI195" s="306"/>
    </row>
    <row r="196" spans="2:35" x14ac:dyDescent="0.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AH196" s="306"/>
      <c r="AI196" s="306"/>
    </row>
    <row r="197" spans="2:35" x14ac:dyDescent="0.5">
      <c r="B197" s="154" t="s">
        <v>935</v>
      </c>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AH197" s="306"/>
      <c r="AI197" s="306"/>
    </row>
    <row r="198" spans="2:35" x14ac:dyDescent="0.5">
      <c r="B198" s="206" t="s">
        <v>149</v>
      </c>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AH198" s="306"/>
      <c r="AI198" s="306"/>
    </row>
    <row r="199" spans="2:35" x14ac:dyDescent="0.5">
      <c r="B199" s="207" t="s">
        <v>936</v>
      </c>
      <c r="C199" s="211">
        <v>38.973999999999997</v>
      </c>
      <c r="D199" s="211">
        <v>37.005000000000003</v>
      </c>
      <c r="E199" s="211">
        <v>41.451999999999998</v>
      </c>
      <c r="F199" s="211">
        <v>52.976999999999997</v>
      </c>
      <c r="G199" s="211">
        <v>40.345999999999997</v>
      </c>
      <c r="H199" s="211">
        <v>59.405999999999999</v>
      </c>
      <c r="I199" s="211">
        <v>112.2</v>
      </c>
      <c r="J199" s="211">
        <v>142.86500000000001</v>
      </c>
      <c r="K199" s="211">
        <v>299.83699999999999</v>
      </c>
      <c r="L199" s="211">
        <v>247.05600000000001</v>
      </c>
      <c r="M199" s="211">
        <v>244.476</v>
      </c>
      <c r="N199" s="211">
        <v>277.16000000000003</v>
      </c>
      <c r="O199" s="211">
        <v>346.77600000000001</v>
      </c>
      <c r="P199" s="211">
        <v>335.57600000000002</v>
      </c>
      <c r="Q199" s="211">
        <v>423.60599999999999</v>
      </c>
      <c r="R199" s="211"/>
      <c r="S199" s="211"/>
      <c r="T199" s="211">
        <v>598</v>
      </c>
      <c r="U199" s="211"/>
      <c r="V199" s="211"/>
      <c r="W199" s="211"/>
      <c r="X199" s="211"/>
      <c r="AH199" s="306"/>
      <c r="AI199" s="306"/>
    </row>
    <row r="200" spans="2:35" x14ac:dyDescent="0.5">
      <c r="B200" s="207" t="s">
        <v>937</v>
      </c>
      <c r="C200" s="211">
        <v>0.159</v>
      </c>
      <c r="D200" s="211">
        <v>0.16500000000000001</v>
      </c>
      <c r="E200" s="211">
        <v>0.17199999999999999</v>
      </c>
      <c r="F200" s="211">
        <v>0.18</v>
      </c>
      <c r="G200" s="211">
        <v>0.185</v>
      </c>
      <c r="H200" s="211">
        <v>0.19</v>
      </c>
      <c r="I200" s="211">
        <v>0.19500000000000001</v>
      </c>
      <c r="J200" s="211">
        <v>0.20100000000000001</v>
      </c>
      <c r="K200" s="211">
        <v>0.17</v>
      </c>
      <c r="L200" s="211">
        <v>0.36899999999999999</v>
      </c>
      <c r="M200" s="211">
        <v>0.27200000000000002</v>
      </c>
      <c r="N200" s="211">
        <v>0.502</v>
      </c>
      <c r="O200" s="211">
        <v>0.502</v>
      </c>
      <c r="P200" s="211">
        <v>0.54800000000000004</v>
      </c>
      <c r="Q200" s="211">
        <v>0.625</v>
      </c>
      <c r="R200" s="211"/>
      <c r="S200" s="211"/>
      <c r="T200" s="211">
        <v>0.7</v>
      </c>
      <c r="U200" s="211"/>
      <c r="V200" s="211"/>
      <c r="W200" s="211"/>
      <c r="X200" s="211"/>
      <c r="AH200" s="311"/>
      <c r="AI200" s="311"/>
    </row>
    <row r="201" spans="2:35" x14ac:dyDescent="0.5">
      <c r="B201" s="207" t="s">
        <v>938</v>
      </c>
      <c r="C201" s="211">
        <v>0.68100000000000005</v>
      </c>
      <c r="D201" s="211">
        <v>0.56499999999999995</v>
      </c>
      <c r="E201" s="211">
        <v>0.63100000000000001</v>
      </c>
      <c r="F201" s="211">
        <v>0.89300000000000002</v>
      </c>
      <c r="G201" s="211">
        <v>1.141</v>
      </c>
      <c r="H201" s="211">
        <v>1.444</v>
      </c>
      <c r="I201" s="211">
        <v>1.792</v>
      </c>
      <c r="J201" s="211">
        <v>7.7880000000000003</v>
      </c>
      <c r="K201" s="211">
        <v>8.0129999999999999</v>
      </c>
      <c r="L201" s="211">
        <v>6.0430000000000001</v>
      </c>
      <c r="M201" s="211">
        <v>8.7420000000000009</v>
      </c>
      <c r="N201" s="211">
        <v>13.125999999999999</v>
      </c>
      <c r="O201" s="211">
        <v>13.568</v>
      </c>
      <c r="P201" s="211">
        <v>10.587</v>
      </c>
      <c r="Q201" s="211">
        <v>11.885</v>
      </c>
      <c r="R201" s="211"/>
      <c r="S201" s="211"/>
      <c r="T201" s="211">
        <v>13</v>
      </c>
      <c r="U201" s="211"/>
      <c r="V201" s="211"/>
      <c r="W201" s="211"/>
      <c r="X201" s="211"/>
      <c r="AH201" s="306"/>
      <c r="AI201" s="306"/>
    </row>
    <row r="202" spans="2:35" x14ac:dyDescent="0.5">
      <c r="B202" s="207" t="s">
        <v>925</v>
      </c>
      <c r="C202" s="211"/>
      <c r="D202" s="211"/>
      <c r="E202" s="211"/>
      <c r="F202" s="211"/>
      <c r="G202" s="211">
        <v>8.3000000000000004E-2</v>
      </c>
      <c r="H202" s="211">
        <v>7.0999999999999994E-2</v>
      </c>
      <c r="I202" s="211">
        <v>2.831</v>
      </c>
      <c r="J202" s="211">
        <v>2.8959999999999999</v>
      </c>
      <c r="K202" s="211"/>
      <c r="L202" s="211">
        <v>2.274</v>
      </c>
      <c r="M202" s="211"/>
      <c r="N202" s="211">
        <v>0.221</v>
      </c>
      <c r="O202" s="211">
        <v>1.121</v>
      </c>
      <c r="P202" s="211">
        <v>7.5999999999999998E-2</v>
      </c>
      <c r="Q202" s="211">
        <v>0.44600000000000001</v>
      </c>
      <c r="R202" s="211"/>
      <c r="S202" s="211"/>
      <c r="T202" s="211">
        <v>0.8</v>
      </c>
      <c r="U202" s="211"/>
      <c r="V202" s="211"/>
      <c r="W202" s="211"/>
      <c r="X202" s="211"/>
      <c r="AH202" s="312"/>
      <c r="AI202" s="312"/>
    </row>
    <row r="203" spans="2:35" x14ac:dyDescent="0.5">
      <c r="B203" s="207" t="s">
        <v>939</v>
      </c>
      <c r="C203" s="211"/>
      <c r="D203" s="211"/>
      <c r="E203" s="211"/>
      <c r="F203" s="211"/>
      <c r="G203" s="211"/>
      <c r="H203" s="211"/>
      <c r="I203" s="211"/>
      <c r="J203" s="211"/>
      <c r="K203" s="211"/>
      <c r="L203" s="211">
        <v>2.274</v>
      </c>
      <c r="M203" s="211">
        <v>2.4089999999999998</v>
      </c>
      <c r="N203" s="211">
        <v>5.0140000000000002</v>
      </c>
      <c r="O203" s="211">
        <v>6.077</v>
      </c>
      <c r="P203" s="211">
        <v>14.656000000000001</v>
      </c>
      <c r="Q203" s="211">
        <v>14.782</v>
      </c>
      <c r="R203" s="211"/>
      <c r="S203" s="211"/>
      <c r="T203" s="211"/>
      <c r="U203" s="211"/>
      <c r="V203" s="211"/>
      <c r="W203" s="211"/>
      <c r="X203" s="211"/>
      <c r="AH203" s="306"/>
      <c r="AI203" s="306"/>
    </row>
    <row r="204" spans="2:35" x14ac:dyDescent="0.5">
      <c r="B204" s="207" t="s">
        <v>940</v>
      </c>
      <c r="C204" s="211"/>
      <c r="D204" s="211"/>
      <c r="E204" s="211"/>
      <c r="F204" s="211"/>
      <c r="G204" s="211"/>
      <c r="H204" s="211"/>
      <c r="I204" s="211"/>
      <c r="J204" s="211"/>
      <c r="K204" s="211"/>
      <c r="L204" s="211">
        <v>2.274</v>
      </c>
      <c r="M204" s="211">
        <v>2.4089999999999998</v>
      </c>
      <c r="N204" s="211">
        <v>1.71</v>
      </c>
      <c r="O204" s="211"/>
      <c r="P204" s="211">
        <v>1.573</v>
      </c>
      <c r="Q204" s="211">
        <v>1.54</v>
      </c>
      <c r="R204" s="211"/>
      <c r="S204" s="211"/>
      <c r="T204" s="211">
        <v>0.9</v>
      </c>
      <c r="U204" s="211"/>
      <c r="V204" s="211"/>
      <c r="W204" s="211"/>
      <c r="X204" s="211"/>
      <c r="AH204" s="306"/>
      <c r="AI204" s="306"/>
    </row>
    <row r="205" spans="2:35" x14ac:dyDescent="0.5">
      <c r="B205" s="208" t="s">
        <v>941</v>
      </c>
      <c r="C205" s="212"/>
      <c r="D205" s="212"/>
      <c r="E205" s="212"/>
      <c r="F205" s="212"/>
      <c r="G205" s="212"/>
      <c r="H205" s="212"/>
      <c r="I205" s="212"/>
      <c r="J205" s="212"/>
      <c r="K205" s="212">
        <v>1.36</v>
      </c>
      <c r="L205" s="212">
        <v>0.66500000000000004</v>
      </c>
      <c r="M205" s="212">
        <v>0.66500000000000004</v>
      </c>
      <c r="N205" s="212">
        <v>0.66500000000000004</v>
      </c>
      <c r="O205" s="212"/>
      <c r="P205" s="212">
        <v>0.66500000000000004</v>
      </c>
      <c r="Q205" s="212">
        <v>0</v>
      </c>
      <c r="R205" s="211"/>
      <c r="S205" s="211"/>
      <c r="T205" s="212">
        <v>0</v>
      </c>
      <c r="U205" s="211"/>
      <c r="V205" s="211"/>
      <c r="W205" s="212"/>
      <c r="X205" s="211"/>
      <c r="AH205" s="301"/>
      <c r="AI205" s="301"/>
    </row>
    <row r="206" spans="2:35" x14ac:dyDescent="0.5">
      <c r="B206" s="206" t="s">
        <v>942</v>
      </c>
      <c r="C206" s="213">
        <f t="shared" ref="C206:Q206" si="117">SUM(C199:C205)</f>
        <v>39.813999999999993</v>
      </c>
      <c r="D206" s="213">
        <f t="shared" si="117"/>
        <v>37.734999999999999</v>
      </c>
      <c r="E206" s="213">
        <f t="shared" si="117"/>
        <v>42.254999999999995</v>
      </c>
      <c r="F206" s="213">
        <f t="shared" si="117"/>
        <v>54.05</v>
      </c>
      <c r="G206" s="213">
        <f t="shared" si="117"/>
        <v>41.754999999999995</v>
      </c>
      <c r="H206" s="213">
        <f t="shared" si="117"/>
        <v>61.110999999999997</v>
      </c>
      <c r="I206" s="213">
        <f t="shared" si="117"/>
        <v>117.018</v>
      </c>
      <c r="J206" s="213">
        <f t="shared" si="117"/>
        <v>153.75</v>
      </c>
      <c r="K206" s="213">
        <f t="shared" si="117"/>
        <v>309.38</v>
      </c>
      <c r="L206" s="213">
        <f t="shared" si="117"/>
        <v>260.95500000000004</v>
      </c>
      <c r="M206" s="213">
        <f t="shared" si="117"/>
        <v>258.97300000000001</v>
      </c>
      <c r="N206" s="213">
        <f t="shared" si="117"/>
        <v>298.39800000000002</v>
      </c>
      <c r="O206" s="213">
        <f t="shared" si="117"/>
        <v>368.04399999999998</v>
      </c>
      <c r="P206" s="213">
        <f t="shared" si="117"/>
        <v>363.68100000000004</v>
      </c>
      <c r="Q206" s="213">
        <f t="shared" si="117"/>
        <v>452.88400000000001</v>
      </c>
      <c r="R206" s="213"/>
      <c r="S206" s="213"/>
      <c r="T206" s="213">
        <f>SUM(T199:T205)</f>
        <v>613.4</v>
      </c>
      <c r="U206" s="213"/>
      <c r="V206" s="213"/>
      <c r="W206" s="213"/>
      <c r="X206" s="213"/>
      <c r="AH206" s="306"/>
      <c r="AI206" s="306"/>
    </row>
    <row r="207" spans="2:35" x14ac:dyDescent="0.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AH207" s="306"/>
      <c r="AI207" s="306"/>
    </row>
    <row r="208" spans="2:35" x14ac:dyDescent="0.5">
      <c r="B208" s="206" t="s">
        <v>928</v>
      </c>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AH208" s="301"/>
      <c r="AI208" s="301"/>
    </row>
    <row r="209" spans="2:35" x14ac:dyDescent="0.5">
      <c r="B209" s="207" t="s">
        <v>953</v>
      </c>
      <c r="C209" s="211" t="s">
        <v>548</v>
      </c>
      <c r="D209" s="211"/>
      <c r="E209" s="211"/>
      <c r="F209" s="211"/>
      <c r="G209" s="211"/>
      <c r="H209" s="211"/>
      <c r="I209" s="211"/>
      <c r="J209" s="211">
        <v>0.25900000000000001</v>
      </c>
      <c r="K209" s="211">
        <v>0.42199999999999999</v>
      </c>
      <c r="L209" s="211">
        <v>0.64400000000000002</v>
      </c>
      <c r="M209" s="211">
        <v>0.65500000000000003</v>
      </c>
      <c r="N209" s="211">
        <v>0.88300000000000001</v>
      </c>
      <c r="O209" s="211">
        <v>0.57599999999999996</v>
      </c>
      <c r="P209" s="211">
        <v>0.44500000000000001</v>
      </c>
      <c r="Q209" s="211">
        <v>0.503</v>
      </c>
      <c r="R209" s="211"/>
      <c r="S209" s="211"/>
      <c r="T209" s="211">
        <v>3.2</v>
      </c>
      <c r="U209" s="211"/>
      <c r="V209" s="211"/>
      <c r="W209" s="211"/>
      <c r="X209" s="211"/>
      <c r="AH209" s="306"/>
      <c r="AI209" s="306"/>
    </row>
    <row r="210" spans="2:35" x14ac:dyDescent="0.5">
      <c r="B210" s="208" t="s">
        <v>937</v>
      </c>
      <c r="C210" s="212">
        <v>0.35499999999999998</v>
      </c>
      <c r="D210" s="212">
        <v>0.31</v>
      </c>
      <c r="E210" s="212">
        <v>0.26400000000000001</v>
      </c>
      <c r="F210" s="212">
        <v>0.219</v>
      </c>
      <c r="G210" s="212">
        <v>0.17</v>
      </c>
      <c r="H210" s="212">
        <v>0.12</v>
      </c>
      <c r="I210" s="212">
        <v>6.9000000000000006E-2</v>
      </c>
      <c r="J210" s="212">
        <v>1.7000000000000001E-2</v>
      </c>
      <c r="K210" s="212"/>
      <c r="L210" s="212">
        <v>3.6989999999999998</v>
      </c>
      <c r="M210" s="212">
        <v>3.76</v>
      </c>
      <c r="N210" s="212">
        <v>3.4260000000000002</v>
      </c>
      <c r="O210" s="212">
        <v>3.367</v>
      </c>
      <c r="P210" s="212">
        <v>3.3759999999999999</v>
      </c>
      <c r="Q210" s="212">
        <v>3.4489999999999998</v>
      </c>
      <c r="R210" s="211"/>
      <c r="S210" s="211"/>
      <c r="T210" s="212">
        <v>3.3</v>
      </c>
      <c r="U210" s="211"/>
      <c r="V210" s="211"/>
      <c r="W210" s="212"/>
      <c r="X210" s="211"/>
      <c r="AH210" s="306"/>
      <c r="AI210" s="306"/>
    </row>
    <row r="211" spans="2:35" x14ac:dyDescent="0.5">
      <c r="B211" s="206" t="s">
        <v>933</v>
      </c>
      <c r="C211" s="213">
        <f>SUM(C209:C210)</f>
        <v>0.35499999999999998</v>
      </c>
      <c r="D211" s="213">
        <f t="shared" ref="D211:Q211" si="118">SUM(D209:D210)</f>
        <v>0.31</v>
      </c>
      <c r="E211" s="213">
        <f t="shared" si="118"/>
        <v>0.26400000000000001</v>
      </c>
      <c r="F211" s="213">
        <f t="shared" si="118"/>
        <v>0.219</v>
      </c>
      <c r="G211" s="213">
        <f t="shared" si="118"/>
        <v>0.17</v>
      </c>
      <c r="H211" s="213">
        <f t="shared" si="118"/>
        <v>0.12</v>
      </c>
      <c r="I211" s="213">
        <f t="shared" si="118"/>
        <v>6.9000000000000006E-2</v>
      </c>
      <c r="J211" s="213">
        <f t="shared" si="118"/>
        <v>0.27600000000000002</v>
      </c>
      <c r="K211" s="213">
        <f t="shared" si="118"/>
        <v>0.42199999999999999</v>
      </c>
      <c r="L211" s="213">
        <f t="shared" si="118"/>
        <v>4.343</v>
      </c>
      <c r="M211" s="213">
        <f t="shared" si="118"/>
        <v>4.415</v>
      </c>
      <c r="N211" s="213">
        <f t="shared" si="118"/>
        <v>4.3090000000000002</v>
      </c>
      <c r="O211" s="213">
        <f t="shared" si="118"/>
        <v>3.9430000000000001</v>
      </c>
      <c r="P211" s="213">
        <f t="shared" si="118"/>
        <v>3.8209999999999997</v>
      </c>
      <c r="Q211" s="213">
        <f t="shared" si="118"/>
        <v>3.952</v>
      </c>
      <c r="R211" s="213"/>
      <c r="S211" s="213"/>
      <c r="T211" s="213">
        <f>SUM(T209:T210)</f>
        <v>6.5</v>
      </c>
      <c r="U211" s="213"/>
      <c r="V211" s="213"/>
      <c r="W211" s="213"/>
      <c r="X211" s="213"/>
      <c r="AH211" s="306"/>
      <c r="AI211" s="306"/>
    </row>
    <row r="212" spans="2:35" x14ac:dyDescent="0.5">
      <c r="B212" s="154" t="s">
        <v>943</v>
      </c>
      <c r="C212" s="213">
        <f>C211+C206</f>
        <v>40.16899999999999</v>
      </c>
      <c r="D212" s="213">
        <f t="shared" ref="D212:Q212" si="119">D211+D206</f>
        <v>38.045000000000002</v>
      </c>
      <c r="E212" s="213">
        <f t="shared" si="119"/>
        <v>42.518999999999998</v>
      </c>
      <c r="F212" s="213">
        <f t="shared" si="119"/>
        <v>54.268999999999998</v>
      </c>
      <c r="G212" s="213">
        <f t="shared" si="119"/>
        <v>41.924999999999997</v>
      </c>
      <c r="H212" s="213">
        <f t="shared" si="119"/>
        <v>61.230999999999995</v>
      </c>
      <c r="I212" s="213">
        <f t="shared" si="119"/>
        <v>117.087</v>
      </c>
      <c r="J212" s="213">
        <f t="shared" si="119"/>
        <v>154.02600000000001</v>
      </c>
      <c r="K212" s="213">
        <f t="shared" si="119"/>
        <v>309.80200000000002</v>
      </c>
      <c r="L212" s="213">
        <f t="shared" si="119"/>
        <v>265.29800000000006</v>
      </c>
      <c r="M212" s="213">
        <f t="shared" si="119"/>
        <v>263.38800000000003</v>
      </c>
      <c r="N212" s="213">
        <f t="shared" si="119"/>
        <v>302.70700000000005</v>
      </c>
      <c r="O212" s="213">
        <f t="shared" si="119"/>
        <v>371.98699999999997</v>
      </c>
      <c r="P212" s="213">
        <f t="shared" si="119"/>
        <v>367.50200000000007</v>
      </c>
      <c r="Q212" s="213">
        <f t="shared" si="119"/>
        <v>456.83600000000001</v>
      </c>
      <c r="R212" s="213"/>
      <c r="S212" s="213"/>
      <c r="T212" s="213">
        <f>T211+T206</f>
        <v>619.9</v>
      </c>
      <c r="U212" s="213"/>
      <c r="V212" s="213"/>
      <c r="W212" s="213"/>
      <c r="X212" s="213"/>
      <c r="AH212" s="306"/>
      <c r="AI212" s="306"/>
    </row>
    <row r="213" spans="2:35" x14ac:dyDescent="0.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AH213" s="306"/>
      <c r="AI213" s="306"/>
    </row>
    <row r="214" spans="2:35" x14ac:dyDescent="0.5">
      <c r="B214" s="154" t="s">
        <v>150</v>
      </c>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AH214" s="306"/>
      <c r="AI214" s="306"/>
    </row>
    <row r="215" spans="2:35" x14ac:dyDescent="0.5">
      <c r="B215" s="205" t="s">
        <v>944</v>
      </c>
      <c r="C215" s="211">
        <v>0.59664099999999998</v>
      </c>
      <c r="D215" s="211">
        <v>0.59699999999999998</v>
      </c>
      <c r="E215" s="211">
        <v>0.59699999999999998</v>
      </c>
      <c r="F215" s="211">
        <v>0.60199999999999998</v>
      </c>
      <c r="G215" s="211">
        <v>0.60199999999999998</v>
      </c>
      <c r="H215" s="211">
        <v>0.60199999999999998</v>
      </c>
      <c r="I215" s="211">
        <v>0.60199999999999998</v>
      </c>
      <c r="J215" s="211">
        <v>0.60199999999999998</v>
      </c>
      <c r="K215" s="211">
        <v>0.628</v>
      </c>
      <c r="L215" s="211">
        <v>0.58599999999999997</v>
      </c>
      <c r="M215" s="211">
        <v>0.59</v>
      </c>
      <c r="N215" s="211">
        <v>0.59</v>
      </c>
      <c r="O215" s="211">
        <v>0.59</v>
      </c>
      <c r="P215" s="211">
        <v>0.59199999999999997</v>
      </c>
      <c r="Q215" s="211">
        <v>0.59199999999999997</v>
      </c>
      <c r="R215" s="211"/>
      <c r="S215" s="211"/>
      <c r="T215" s="211">
        <v>0.6</v>
      </c>
      <c r="U215" s="211"/>
      <c r="V215" s="211"/>
      <c r="W215" s="211"/>
      <c r="X215" s="211"/>
      <c r="AH215" s="306"/>
      <c r="AI215" s="306"/>
    </row>
    <row r="216" spans="2:35" x14ac:dyDescent="0.5">
      <c r="B216" s="205" t="s">
        <v>945</v>
      </c>
      <c r="C216" s="211"/>
      <c r="D216" s="211"/>
      <c r="E216" s="211"/>
      <c r="F216" s="211"/>
      <c r="G216" s="211"/>
      <c r="H216" s="211"/>
      <c r="I216" s="211"/>
      <c r="J216" s="211"/>
      <c r="K216" s="211"/>
      <c r="L216" s="211"/>
      <c r="M216" s="211"/>
      <c r="N216" s="211"/>
      <c r="O216" s="211"/>
      <c r="P216" s="211">
        <v>163.50299999999999</v>
      </c>
      <c r="Q216" s="211">
        <v>165.31800000000001</v>
      </c>
      <c r="R216" s="211"/>
      <c r="S216" s="211"/>
      <c r="T216" s="211">
        <v>69</v>
      </c>
      <c r="U216" s="211"/>
      <c r="V216" s="211"/>
      <c r="W216" s="211"/>
      <c r="X216" s="211"/>
      <c r="AH216" s="306"/>
      <c r="AI216" s="306"/>
    </row>
    <row r="217" spans="2:35" x14ac:dyDescent="0.5">
      <c r="B217" s="205" t="s">
        <v>946</v>
      </c>
      <c r="C217" s="211">
        <v>4.5910000000000002</v>
      </c>
      <c r="D217" s="211">
        <v>4.6100000000000003</v>
      </c>
      <c r="E217" s="211">
        <v>4.63</v>
      </c>
      <c r="F217" s="211">
        <v>5.2869999999999999</v>
      </c>
      <c r="G217" s="211">
        <v>12.19</v>
      </c>
      <c r="H217" s="211">
        <v>12.22</v>
      </c>
      <c r="I217" s="211">
        <v>12.326000000000001</v>
      </c>
      <c r="J217" s="211">
        <v>12.582000000000001</v>
      </c>
      <c r="K217" s="211">
        <v>9.9260000000000002</v>
      </c>
      <c r="L217" s="211">
        <v>8.3650000000000002</v>
      </c>
      <c r="M217" s="211">
        <v>10.505000000000001</v>
      </c>
      <c r="N217" s="211">
        <v>12.741</v>
      </c>
      <c r="O217" s="211">
        <v>14.534000000000001</v>
      </c>
      <c r="P217" s="211">
        <v>12.375999999999999</v>
      </c>
      <c r="Q217" s="211">
        <v>13.17</v>
      </c>
      <c r="R217" s="211"/>
      <c r="S217" s="211"/>
      <c r="T217" s="211">
        <v>18</v>
      </c>
      <c r="U217" s="211"/>
      <c r="V217" s="211"/>
      <c r="W217" s="211"/>
      <c r="X217" s="211"/>
      <c r="AH217" s="306"/>
      <c r="AI217" s="306"/>
    </row>
    <row r="218" spans="2:35" x14ac:dyDescent="0.5">
      <c r="B218" s="205" t="s">
        <v>947</v>
      </c>
      <c r="C218" s="211">
        <v>-2.4E-2</v>
      </c>
      <c r="D218" s="211">
        <v>-2.9000000000000001E-2</v>
      </c>
      <c r="E218" s="211">
        <v>-0.19700000000000001</v>
      </c>
      <c r="F218" s="211">
        <v>1.4E-2</v>
      </c>
      <c r="G218" s="211">
        <v>-0.68</v>
      </c>
      <c r="H218" s="211">
        <v>-0.76400000000000001</v>
      </c>
      <c r="I218" s="211">
        <v>-0.502</v>
      </c>
      <c r="J218" s="211">
        <v>0.11899999999999999</v>
      </c>
      <c r="K218" s="211">
        <v>0.27900000000000003</v>
      </c>
      <c r="L218" s="211">
        <v>0.86599999999999999</v>
      </c>
      <c r="M218" s="211">
        <v>0.42299999999999999</v>
      </c>
      <c r="N218" s="211">
        <v>-0.03</v>
      </c>
      <c r="O218" s="211">
        <v>1.466</v>
      </c>
      <c r="P218" s="211">
        <v>-0.55800000000000005</v>
      </c>
      <c r="Q218" s="211">
        <v>-1.7849999999999999</v>
      </c>
      <c r="R218" s="211"/>
      <c r="S218" s="211"/>
      <c r="T218" s="211">
        <v>-6</v>
      </c>
      <c r="U218" s="211"/>
      <c r="V218" s="211"/>
      <c r="W218" s="211"/>
      <c r="X218" s="211"/>
      <c r="AH218" s="306"/>
      <c r="AI218" s="306"/>
    </row>
    <row r="219" spans="2:35" x14ac:dyDescent="0.5">
      <c r="B219" s="210" t="s">
        <v>948</v>
      </c>
      <c r="C219" s="212">
        <v>3.351</v>
      </c>
      <c r="D219" s="212">
        <v>9.173</v>
      </c>
      <c r="E219" s="212">
        <v>15.37</v>
      </c>
      <c r="F219" s="212">
        <v>18.46</v>
      </c>
      <c r="G219" s="212">
        <v>19.158999999999999</v>
      </c>
      <c r="H219" s="212">
        <v>26.561</v>
      </c>
      <c r="I219" s="212">
        <v>20.170000000000002</v>
      </c>
      <c r="J219" s="212">
        <v>31.748999999999999</v>
      </c>
      <c r="K219" s="212">
        <v>48.712000000000003</v>
      </c>
      <c r="L219" s="212">
        <v>66.489999999999995</v>
      </c>
      <c r="M219" s="212">
        <v>86.203999999999994</v>
      </c>
      <c r="N219" s="212">
        <v>109.867</v>
      </c>
      <c r="O219" s="212">
        <v>135.82499999999999</v>
      </c>
      <c r="P219" s="212">
        <v>167.17599999999999</v>
      </c>
      <c r="Q219" s="212">
        <v>200.46</v>
      </c>
      <c r="R219" s="211"/>
      <c r="S219" s="211"/>
      <c r="T219" s="212">
        <v>302</v>
      </c>
      <c r="U219" s="211"/>
      <c r="V219" s="211"/>
      <c r="W219" s="212"/>
      <c r="X219" s="211"/>
      <c r="AH219" s="313"/>
      <c r="AI219" s="313"/>
    </row>
    <row r="220" spans="2:35" x14ac:dyDescent="0.5">
      <c r="B220" s="209" t="s">
        <v>949</v>
      </c>
      <c r="C220" s="213">
        <f>SUM(C215:C219)</f>
        <v>8.514641000000001</v>
      </c>
      <c r="D220" s="213">
        <f t="shared" ref="D220:Q220" si="120">SUM(D215:D219)</f>
        <v>14.351000000000001</v>
      </c>
      <c r="E220" s="213">
        <f t="shared" si="120"/>
        <v>20.399999999999999</v>
      </c>
      <c r="F220" s="213">
        <f t="shared" si="120"/>
        <v>24.363</v>
      </c>
      <c r="G220" s="213">
        <f t="shared" si="120"/>
        <v>31.271000000000001</v>
      </c>
      <c r="H220" s="213">
        <f t="shared" si="120"/>
        <v>38.619</v>
      </c>
      <c r="I220" s="213">
        <f t="shared" si="120"/>
        <v>32.596000000000004</v>
      </c>
      <c r="J220" s="213">
        <f t="shared" si="120"/>
        <v>45.052</v>
      </c>
      <c r="K220" s="213">
        <f t="shared" si="120"/>
        <v>59.545000000000002</v>
      </c>
      <c r="L220" s="213">
        <f t="shared" si="120"/>
        <v>76.306999999999988</v>
      </c>
      <c r="M220" s="213">
        <f t="shared" si="120"/>
        <v>97.721999999999994</v>
      </c>
      <c r="N220" s="213">
        <f t="shared" si="120"/>
        <v>123.16800000000001</v>
      </c>
      <c r="O220" s="213">
        <f t="shared" si="120"/>
        <v>152.41499999999999</v>
      </c>
      <c r="P220" s="213">
        <f t="shared" si="120"/>
        <v>343.089</v>
      </c>
      <c r="Q220" s="213">
        <f t="shared" si="120"/>
        <v>377.755</v>
      </c>
      <c r="R220" s="213"/>
      <c r="S220" s="213"/>
      <c r="T220" s="213">
        <f>SUM(T215:T219)</f>
        <v>383.6</v>
      </c>
      <c r="U220" s="213"/>
      <c r="V220" s="213"/>
      <c r="W220" s="213"/>
      <c r="X220" s="213"/>
      <c r="AH220" s="306"/>
      <c r="AI220" s="306"/>
    </row>
    <row r="221" spans="2:35" x14ac:dyDescent="0.5">
      <c r="B221" s="210" t="s">
        <v>950</v>
      </c>
      <c r="C221" s="212">
        <v>3.59E-4</v>
      </c>
      <c r="D221" s="212"/>
      <c r="E221" s="212"/>
      <c r="F221" s="212">
        <v>0.16600000000000001</v>
      </c>
      <c r="G221" s="212">
        <v>3.0000000000000001E-3</v>
      </c>
      <c r="H221" s="212">
        <v>0.36749999999999999</v>
      </c>
      <c r="I221" s="212">
        <v>3.0000000000000001E-3</v>
      </c>
      <c r="J221" s="212">
        <v>-4.0000000000000001E-3</v>
      </c>
      <c r="K221" s="212">
        <v>1.2E-2</v>
      </c>
      <c r="L221" s="212">
        <v>1.2E-2</v>
      </c>
      <c r="M221" s="212">
        <v>1.7999999999999999E-2</v>
      </c>
      <c r="N221" s="212">
        <v>-1.7999999999999999E-2</v>
      </c>
      <c r="O221" s="212">
        <v>-3.6999999999999998E-2</v>
      </c>
      <c r="P221" s="212">
        <v>0.113</v>
      </c>
      <c r="Q221" s="212">
        <v>-1.0999999999999999E-2</v>
      </c>
      <c r="R221" s="211"/>
      <c r="S221" s="211"/>
      <c r="T221" s="212">
        <v>8.9999999999999993E-3</v>
      </c>
      <c r="U221" s="211"/>
      <c r="V221" s="211"/>
      <c r="W221" s="212"/>
      <c r="X221" s="211"/>
      <c r="AH221" s="306"/>
      <c r="AI221" s="306"/>
    </row>
    <row r="222" spans="2:35" x14ac:dyDescent="0.5">
      <c r="B222" s="154" t="s">
        <v>951</v>
      </c>
      <c r="C222" s="213">
        <f>C220+C221</f>
        <v>8.5150000000000006</v>
      </c>
      <c r="D222" s="213">
        <f t="shared" ref="D222:Q222" si="121">D220+D221</f>
        <v>14.351000000000001</v>
      </c>
      <c r="E222" s="213">
        <f t="shared" si="121"/>
        <v>20.399999999999999</v>
      </c>
      <c r="F222" s="213">
        <f t="shared" si="121"/>
        <v>24.529</v>
      </c>
      <c r="G222" s="213">
        <f t="shared" si="121"/>
        <v>31.274000000000001</v>
      </c>
      <c r="H222" s="213">
        <f t="shared" si="121"/>
        <v>38.986499999999999</v>
      </c>
      <c r="I222" s="213">
        <f t="shared" si="121"/>
        <v>32.599000000000004</v>
      </c>
      <c r="J222" s="213">
        <f t="shared" si="121"/>
        <v>45.048000000000002</v>
      </c>
      <c r="K222" s="213">
        <f t="shared" si="121"/>
        <v>59.557000000000002</v>
      </c>
      <c r="L222" s="213">
        <f t="shared" si="121"/>
        <v>76.318999999999988</v>
      </c>
      <c r="M222" s="213">
        <f t="shared" si="121"/>
        <v>97.74</v>
      </c>
      <c r="N222" s="213">
        <f t="shared" si="121"/>
        <v>123.15</v>
      </c>
      <c r="O222" s="213">
        <f t="shared" si="121"/>
        <v>152.37799999999999</v>
      </c>
      <c r="P222" s="213">
        <f t="shared" si="121"/>
        <v>343.202</v>
      </c>
      <c r="Q222" s="213">
        <f t="shared" si="121"/>
        <v>377.74399999999997</v>
      </c>
      <c r="R222" s="213"/>
      <c r="S222" s="213"/>
      <c r="T222" s="213">
        <f>T220+T221</f>
        <v>383.60900000000004</v>
      </c>
      <c r="U222" s="213"/>
      <c r="V222" s="213"/>
      <c r="W222" s="213"/>
      <c r="X222" s="213"/>
      <c r="AH222" s="301"/>
      <c r="AI222" s="301"/>
    </row>
    <row r="223" spans="2:35" x14ac:dyDescent="0.5">
      <c r="AH223" s="301"/>
      <c r="AI223" s="301"/>
    </row>
    <row r="224" spans="2:35" x14ac:dyDescent="0.5">
      <c r="B224" s="146" t="s">
        <v>952</v>
      </c>
      <c r="C224" s="146" t="str">
        <f>IF(C222+C212-C195&gt;5,"ERROR","")</f>
        <v/>
      </c>
      <c r="D224" s="146" t="str">
        <f t="shared" ref="D224:Q224" si="122">IF(D222+D212-D195&gt;5,"ERROR","")</f>
        <v/>
      </c>
      <c r="E224" s="146" t="str">
        <f t="shared" si="122"/>
        <v/>
      </c>
      <c r="F224" s="146" t="str">
        <f t="shared" si="122"/>
        <v/>
      </c>
      <c r="G224" s="146" t="str">
        <f t="shared" si="122"/>
        <v/>
      </c>
      <c r="H224" s="146">
        <v>6</v>
      </c>
      <c r="I224" s="146">
        <v>5</v>
      </c>
      <c r="J224" s="146" t="str">
        <f t="shared" si="122"/>
        <v/>
      </c>
      <c r="K224" s="146" t="str">
        <f t="shared" si="122"/>
        <v/>
      </c>
      <c r="L224" s="146" t="str">
        <f t="shared" si="122"/>
        <v/>
      </c>
      <c r="M224" s="146" t="str">
        <f t="shared" si="122"/>
        <v/>
      </c>
      <c r="N224" s="146" t="str">
        <f t="shared" si="122"/>
        <v/>
      </c>
      <c r="O224" s="146" t="str">
        <f t="shared" si="122"/>
        <v/>
      </c>
      <c r="P224" s="146" t="str">
        <f t="shared" si="122"/>
        <v/>
      </c>
      <c r="Q224" s="146" t="str">
        <f t="shared" si="122"/>
        <v/>
      </c>
      <c r="AH224" s="314"/>
      <c r="AI224" s="314"/>
    </row>
    <row r="225" spans="2:35" x14ac:dyDescent="0.5">
      <c r="AH225" s="314"/>
      <c r="AI225" s="314"/>
    </row>
    <row r="226" spans="2:35" x14ac:dyDescent="0.5">
      <c r="B226" s="146" t="s">
        <v>955</v>
      </c>
      <c r="C226" s="211">
        <f>C182+C184-C199</f>
        <v>3.7220000000000013</v>
      </c>
      <c r="D226" s="211">
        <f t="shared" ref="D226:Q226" si="123">D182+D184-D199</f>
        <v>5.9540000000000006</v>
      </c>
      <c r="E226" s="211">
        <f t="shared" si="123"/>
        <v>12.078000000000003</v>
      </c>
      <c r="F226" s="211">
        <f t="shared" si="123"/>
        <v>7.7270000000000039</v>
      </c>
      <c r="G226" s="211">
        <f t="shared" si="123"/>
        <v>12.196000000000005</v>
      </c>
      <c r="H226" s="211">
        <f t="shared" si="123"/>
        <v>1.7000000000000028</v>
      </c>
      <c r="I226" s="211">
        <f t="shared" si="123"/>
        <v>9.7939999999999969</v>
      </c>
      <c r="J226" s="211">
        <f t="shared" si="123"/>
        <v>41.652999999999992</v>
      </c>
      <c r="K226" s="211">
        <f t="shared" si="123"/>
        <v>-79.389999999999986</v>
      </c>
      <c r="L226" s="211">
        <f t="shared" si="123"/>
        <v>192.87699999999998</v>
      </c>
      <c r="M226" s="211">
        <f t="shared" si="123"/>
        <v>216.17899999999997</v>
      </c>
      <c r="N226" s="211">
        <f t="shared" si="123"/>
        <v>250.00700000000001</v>
      </c>
      <c r="O226" s="211">
        <f t="shared" si="123"/>
        <v>280.47899999999998</v>
      </c>
      <c r="P226" s="211">
        <f t="shared" si="123"/>
        <v>315.95699999999999</v>
      </c>
      <c r="Q226" s="211">
        <f t="shared" si="123"/>
        <v>347.58699999999999</v>
      </c>
      <c r="R226" s="211"/>
      <c r="S226" s="211"/>
      <c r="T226" s="211">
        <f>T182+T184-T199</f>
        <v>250</v>
      </c>
      <c r="U226" s="211"/>
      <c r="V226" s="211"/>
      <c r="W226" s="211"/>
      <c r="X226" s="211"/>
      <c r="AH226" s="311"/>
      <c r="AI226" s="311"/>
    </row>
    <row r="227" spans="2:35" x14ac:dyDescent="0.5">
      <c r="B227" s="205" t="s">
        <v>956</v>
      </c>
      <c r="D227" s="211">
        <f>D226-C226</f>
        <v>2.2319999999999993</v>
      </c>
      <c r="E227" s="211">
        <f t="shared" ref="E227:Q227" si="124">E226-D226</f>
        <v>6.1240000000000023</v>
      </c>
      <c r="F227" s="211">
        <f t="shared" si="124"/>
        <v>-4.3509999999999991</v>
      </c>
      <c r="G227" s="211">
        <f t="shared" si="124"/>
        <v>4.4690000000000012</v>
      </c>
      <c r="H227" s="211">
        <f t="shared" si="124"/>
        <v>-10.496000000000002</v>
      </c>
      <c r="I227" s="211">
        <f t="shared" si="124"/>
        <v>8.0939999999999941</v>
      </c>
      <c r="J227" s="211">
        <f t="shared" si="124"/>
        <v>31.858999999999995</v>
      </c>
      <c r="K227" s="211">
        <f t="shared" si="124"/>
        <v>-121.04299999999998</v>
      </c>
      <c r="L227" s="211">
        <f t="shared" si="124"/>
        <v>272.26699999999994</v>
      </c>
      <c r="M227" s="211">
        <f t="shared" si="124"/>
        <v>23.301999999999992</v>
      </c>
      <c r="N227" s="211">
        <f t="shared" si="124"/>
        <v>33.828000000000031</v>
      </c>
      <c r="O227" s="211">
        <f t="shared" si="124"/>
        <v>30.47199999999998</v>
      </c>
      <c r="P227" s="211">
        <f t="shared" si="124"/>
        <v>35.478000000000009</v>
      </c>
      <c r="Q227" s="211">
        <f t="shared" si="124"/>
        <v>31.629999999999995</v>
      </c>
      <c r="R227" s="211"/>
      <c r="S227" s="211"/>
      <c r="T227" s="211">
        <f>T226-S226</f>
        <v>250</v>
      </c>
      <c r="U227" s="211"/>
      <c r="V227" s="211"/>
      <c r="W227" s="211"/>
      <c r="X227" s="211"/>
      <c r="AH227" s="306"/>
      <c r="AI227" s="306"/>
    </row>
    <row r="228" spans="2:35" x14ac:dyDescent="0.5">
      <c r="AH228" s="306"/>
      <c r="AI228" s="306"/>
    </row>
    <row r="229" spans="2:35" x14ac:dyDescent="0.5">
      <c r="B229" s="146" t="s">
        <v>960</v>
      </c>
      <c r="C229" s="211"/>
      <c r="D229" s="211"/>
      <c r="E229" s="211"/>
      <c r="F229" s="211"/>
      <c r="G229" s="211">
        <f t="shared" ref="G229:Q229" si="125">G140</f>
        <v>1.371</v>
      </c>
      <c r="H229" s="211">
        <f t="shared" si="125"/>
        <v>7.8919999999999995</v>
      </c>
      <c r="I229" s="211">
        <f t="shared" si="125"/>
        <v>9.5540000000000003</v>
      </c>
      <c r="J229" s="211">
        <f t="shared" si="125"/>
        <v>12.600999999999999</v>
      </c>
      <c r="K229" s="211">
        <f t="shared" si="125"/>
        <v>18.260000000000002</v>
      </c>
      <c r="L229" s="211">
        <f t="shared" si="125"/>
        <v>19.281999999999996</v>
      </c>
      <c r="M229" s="211">
        <f t="shared" si="125"/>
        <v>22.227</v>
      </c>
      <c r="N229" s="211">
        <f t="shared" si="125"/>
        <v>25.663</v>
      </c>
      <c r="O229" s="211">
        <f t="shared" si="125"/>
        <v>27.459999999999997</v>
      </c>
      <c r="P229" s="211">
        <f t="shared" si="125"/>
        <v>35.311</v>
      </c>
      <c r="Q229" s="211">
        <f t="shared" si="125"/>
        <v>34.625</v>
      </c>
      <c r="R229" s="211"/>
      <c r="S229" s="211"/>
      <c r="T229" s="211">
        <f>T140</f>
        <v>53.46</v>
      </c>
      <c r="U229" s="211"/>
      <c r="V229" s="211"/>
      <c r="W229" s="211"/>
      <c r="X229" s="211"/>
      <c r="Y229" s="211"/>
      <c r="Z229" s="211"/>
      <c r="AG229" s="211"/>
      <c r="AH229" s="315"/>
      <c r="AI229" s="315"/>
    </row>
    <row r="230" spans="2:35" x14ac:dyDescent="0.5">
      <c r="B230" s="146" t="s">
        <v>958</v>
      </c>
      <c r="C230" s="211"/>
      <c r="D230" s="211"/>
      <c r="E230" s="211"/>
      <c r="F230" s="211"/>
      <c r="G230" s="211">
        <v>-6.4649999999999999</v>
      </c>
      <c r="H230" s="211">
        <v>12.67</v>
      </c>
      <c r="I230" s="211">
        <v>17.913</v>
      </c>
      <c r="J230" s="211">
        <v>25.202000000000002</v>
      </c>
      <c r="K230" s="211">
        <v>-13.177</v>
      </c>
      <c r="L230" s="211">
        <v>19.696000000000002</v>
      </c>
      <c r="M230" s="211">
        <v>5.1369999999999996</v>
      </c>
      <c r="N230" s="211">
        <v>13.491</v>
      </c>
      <c r="O230" s="211">
        <v>43.124000000000002</v>
      </c>
      <c r="P230" s="211">
        <v>4.9989999999999997</v>
      </c>
      <c r="Q230" s="211">
        <v>53.667999999999999</v>
      </c>
      <c r="R230" s="211"/>
      <c r="S230" s="211"/>
      <c r="T230" s="211">
        <f>142-48</f>
        <v>94</v>
      </c>
      <c r="U230" s="211"/>
      <c r="V230" s="211"/>
      <c r="W230" s="211"/>
      <c r="X230" s="211"/>
      <c r="Y230" s="211"/>
      <c r="Z230" s="211"/>
      <c r="AG230" s="211"/>
      <c r="AH230" s="312"/>
      <c r="AI230" s="312"/>
    </row>
    <row r="231" spans="2:35" x14ac:dyDescent="0.5">
      <c r="B231" s="146" t="s">
        <v>108</v>
      </c>
      <c r="C231" s="211"/>
      <c r="D231" s="211"/>
      <c r="E231" s="211"/>
      <c r="F231" s="211"/>
      <c r="G231" s="211">
        <v>0.126</v>
      </c>
      <c r="H231" s="211">
        <v>0.33600000000000002</v>
      </c>
      <c r="I231" s="211">
        <v>0.28199999999999997</v>
      </c>
      <c r="J231" s="211">
        <v>0.248</v>
      </c>
      <c r="K231" s="211">
        <v>0.51500000000000001</v>
      </c>
      <c r="L231" s="211">
        <v>1.3440000000000001</v>
      </c>
      <c r="M231" s="211">
        <v>1.381</v>
      </c>
      <c r="N231" s="211">
        <v>1.5069999999999999</v>
      </c>
      <c r="O231" s="211">
        <v>1.7230000000000001</v>
      </c>
      <c r="P231" s="211">
        <v>1.857</v>
      </c>
      <c r="Q231" s="211">
        <v>2.11</v>
      </c>
      <c r="R231" s="211"/>
      <c r="S231" s="211"/>
      <c r="T231" s="211">
        <f>T111</f>
        <v>2.8690000000000002</v>
      </c>
      <c r="U231" s="211"/>
      <c r="V231" s="211"/>
      <c r="W231" s="211"/>
      <c r="X231" s="211"/>
      <c r="Y231" s="211"/>
      <c r="Z231" s="211"/>
      <c r="AG231" s="211"/>
      <c r="AH231" s="306"/>
      <c r="AI231" s="306"/>
    </row>
    <row r="232" spans="2:35" x14ac:dyDescent="0.5">
      <c r="B232" s="146" t="s">
        <v>962</v>
      </c>
      <c r="C232" s="211">
        <v>6.4999999999999997E-3</v>
      </c>
      <c r="D232" s="211">
        <v>0.05</v>
      </c>
      <c r="E232" s="211">
        <v>2.35E-2</v>
      </c>
      <c r="F232" s="211">
        <v>4.9130000000000003</v>
      </c>
      <c r="G232" s="211">
        <v>6.9029999999999996</v>
      </c>
      <c r="H232" s="211">
        <v>0.03</v>
      </c>
      <c r="I232" s="211">
        <v>0.106</v>
      </c>
      <c r="J232" s="211">
        <v>0.25600000000000001</v>
      </c>
      <c r="K232" s="211">
        <v>0.56499999999999995</v>
      </c>
      <c r="L232" s="211">
        <v>2.1160000000000001</v>
      </c>
      <c r="M232" s="211">
        <v>2.673</v>
      </c>
      <c r="N232" s="211">
        <v>2.2360000000000002</v>
      </c>
      <c r="O232" s="211">
        <v>2.0339999999999998</v>
      </c>
      <c r="P232" s="211">
        <v>1.2410000000000001</v>
      </c>
      <c r="Q232" s="211">
        <v>1.599</v>
      </c>
      <c r="R232" s="211"/>
      <c r="S232" s="211"/>
      <c r="T232" s="211">
        <f>T117</f>
        <v>1.421</v>
      </c>
      <c r="U232" s="211"/>
      <c r="V232" s="211"/>
      <c r="W232" s="211"/>
      <c r="X232" s="211"/>
      <c r="Y232" s="211"/>
      <c r="Z232" s="211"/>
      <c r="AG232" s="211"/>
      <c r="AH232" s="306"/>
      <c r="AI232" s="306"/>
    </row>
    <row r="233" spans="2:35" x14ac:dyDescent="0.5">
      <c r="B233" s="146" t="s">
        <v>63</v>
      </c>
      <c r="C233" s="211"/>
      <c r="D233" s="211"/>
      <c r="E233" s="211"/>
      <c r="F233" s="211"/>
      <c r="G233" s="211">
        <v>-2.0369999999999999</v>
      </c>
      <c r="H233" s="211">
        <v>-0.503</v>
      </c>
      <c r="I233" s="211">
        <v>2.6749999999999998</v>
      </c>
      <c r="J233" s="211">
        <v>-0.65300000000000002</v>
      </c>
      <c r="K233" s="211">
        <v>-2.8140000000000001</v>
      </c>
      <c r="L233" s="211">
        <v>-6.1559999999999997</v>
      </c>
      <c r="M233" s="211">
        <v>-1.9770000000000001</v>
      </c>
      <c r="N233" s="211">
        <v>-3.5129999999999999</v>
      </c>
      <c r="O233" s="211">
        <v>1.5429999999999999</v>
      </c>
      <c r="P233" s="211">
        <v>-9.3539999999999992</v>
      </c>
      <c r="Q233" s="211">
        <v>-5.7089999999999996</v>
      </c>
      <c r="R233" s="211"/>
      <c r="S233" s="211"/>
      <c r="T233" s="211">
        <v>-10</v>
      </c>
      <c r="U233" s="211"/>
      <c r="V233" s="211"/>
      <c r="W233" s="211"/>
      <c r="X233" s="211"/>
      <c r="Y233" s="211"/>
      <c r="Z233" s="211"/>
      <c r="AG233" s="211"/>
      <c r="AH233" s="315"/>
      <c r="AI233" s="315"/>
    </row>
    <row r="234" spans="2:35" x14ac:dyDescent="0.5">
      <c r="B234" s="154" t="s">
        <v>961</v>
      </c>
      <c r="C234" s="211"/>
      <c r="D234" s="211"/>
      <c r="E234" s="211"/>
      <c r="F234" s="211"/>
      <c r="G234" s="211">
        <f t="shared" ref="G234:P234" si="126">SUM(G229:G233)</f>
        <v>-0.10199999999999942</v>
      </c>
      <c r="H234" s="211">
        <f t="shared" si="126"/>
        <v>20.424999999999997</v>
      </c>
      <c r="I234" s="211">
        <f t="shared" si="126"/>
        <v>30.53</v>
      </c>
      <c r="J234" s="211">
        <f t="shared" si="126"/>
        <v>37.653999999999996</v>
      </c>
      <c r="K234" s="211">
        <f t="shared" si="126"/>
        <v>3.349000000000002</v>
      </c>
      <c r="L234" s="211">
        <f t="shared" si="126"/>
        <v>36.281999999999996</v>
      </c>
      <c r="M234" s="211">
        <f t="shared" si="126"/>
        <v>29.440999999999999</v>
      </c>
      <c r="N234" s="211">
        <f t="shared" si="126"/>
        <v>39.383999999999993</v>
      </c>
      <c r="O234" s="211">
        <f t="shared" si="126"/>
        <v>75.884000000000015</v>
      </c>
      <c r="P234" s="211">
        <f t="shared" si="126"/>
        <v>34.054000000000002</v>
      </c>
      <c r="Q234" s="211">
        <f>SUM(Q229:Q233)</f>
        <v>86.293000000000006</v>
      </c>
      <c r="R234" s="211"/>
      <c r="S234" s="211"/>
      <c r="T234" s="211">
        <f>SUM(T229:T233)</f>
        <v>141.75</v>
      </c>
      <c r="U234" s="211"/>
      <c r="V234" s="211"/>
      <c r="W234" s="211"/>
      <c r="X234" s="211"/>
      <c r="Y234" s="211"/>
      <c r="Z234" s="211"/>
      <c r="AG234" s="211"/>
      <c r="AH234" s="306"/>
      <c r="AI234" s="306"/>
    </row>
    <row r="235" spans="2:35" x14ac:dyDescent="0.5">
      <c r="B235" s="154"/>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G235" s="211"/>
      <c r="AH235" s="306"/>
      <c r="AI235" s="306"/>
    </row>
    <row r="236" spans="2:35" ht="14.4" thickBot="1" x14ac:dyDescent="0.55000000000000004">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G236" s="211"/>
      <c r="AH236" s="305"/>
      <c r="AI236" s="317"/>
    </row>
    <row r="237" spans="2:35" ht="14.4" thickTop="1" x14ac:dyDescent="0.5">
      <c r="B237" s="146" t="s">
        <v>959</v>
      </c>
      <c r="C237" s="211">
        <v>-0.50366666666666671</v>
      </c>
      <c r="D237" s="211">
        <v>-0.33139999999999997</v>
      </c>
      <c r="E237" s="211">
        <v>-0.40720000000000001</v>
      </c>
      <c r="F237" s="211">
        <v>-0.57299999999999995</v>
      </c>
      <c r="G237" s="211">
        <v>-0.72</v>
      </c>
      <c r="H237" s="211">
        <v>-0.68400000000000005</v>
      </c>
      <c r="I237" s="211">
        <v>-1.256</v>
      </c>
      <c r="J237" s="211">
        <v>-1.222</v>
      </c>
      <c r="K237" s="211">
        <v>-1.65</v>
      </c>
      <c r="L237" s="211">
        <v>-40.851999999999997</v>
      </c>
      <c r="M237" s="211">
        <v>-2.7120000000000002</v>
      </c>
      <c r="N237" s="211">
        <v>-2.8029999999999999</v>
      </c>
      <c r="O237" s="211">
        <v>-2.589</v>
      </c>
      <c r="P237" s="211">
        <v>-2.7109999999999999</v>
      </c>
      <c r="Q237" s="211">
        <v>-3.274</v>
      </c>
      <c r="R237" s="211"/>
      <c r="S237" s="211"/>
      <c r="T237" s="211"/>
      <c r="U237" s="211"/>
      <c r="V237" s="211"/>
      <c r="W237" s="211"/>
      <c r="X237" s="211"/>
      <c r="Y237" s="211"/>
      <c r="Z237" s="211"/>
      <c r="AG237" s="211"/>
      <c r="AH237" s="316"/>
      <c r="AI237" s="316"/>
    </row>
    <row r="238" spans="2:35" x14ac:dyDescent="0.5">
      <c r="B238" s="146" t="s">
        <v>963</v>
      </c>
      <c r="C238" s="211"/>
      <c r="D238" s="211">
        <f t="shared" ref="D238:P238" si="127">D193-C193</f>
        <v>0</v>
      </c>
      <c r="E238" s="211">
        <f t="shared" si="127"/>
        <v>0</v>
      </c>
      <c r="F238" s="211">
        <f t="shared" si="127"/>
        <v>0</v>
      </c>
      <c r="G238" s="211">
        <f t="shared" si="127"/>
        <v>0</v>
      </c>
      <c r="H238" s="211">
        <f t="shared" si="127"/>
        <v>0</v>
      </c>
      <c r="I238" s="211">
        <f t="shared" si="127"/>
        <v>0</v>
      </c>
      <c r="J238" s="211">
        <f t="shared" si="127"/>
        <v>0</v>
      </c>
      <c r="K238" s="211">
        <f t="shared" si="127"/>
        <v>6.2380000000000004</v>
      </c>
      <c r="L238" s="211">
        <f t="shared" si="127"/>
        <v>38.383000000000003</v>
      </c>
      <c r="M238" s="211">
        <f t="shared" si="127"/>
        <v>1.1779999999999973</v>
      </c>
      <c r="N238" s="211">
        <f t="shared" si="127"/>
        <v>1.1700000000000017</v>
      </c>
      <c r="O238" s="211">
        <f t="shared" si="127"/>
        <v>1.0869999999999962</v>
      </c>
      <c r="P238" s="211">
        <f t="shared" si="127"/>
        <v>0.62300000000000466</v>
      </c>
      <c r="Q238" s="211">
        <f>Q193-P193</f>
        <v>1.1709999999999994</v>
      </c>
      <c r="R238" s="211"/>
      <c r="S238" s="211"/>
      <c r="T238" s="211"/>
      <c r="U238" s="211"/>
      <c r="V238" s="211"/>
      <c r="W238" s="211"/>
      <c r="X238" s="211"/>
      <c r="Y238" s="211"/>
      <c r="Z238" s="211"/>
      <c r="AG238" s="211"/>
      <c r="AH238" s="311"/>
      <c r="AI238" s="311"/>
    </row>
    <row r="239" spans="2:35" x14ac:dyDescent="0.5">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c r="AG239" s="211"/>
      <c r="AH239" s="306"/>
      <c r="AI239" s="306"/>
    </row>
    <row r="240" spans="2:35" x14ac:dyDescent="0.5">
      <c r="AH240" s="317"/>
      <c r="AI240" s="317"/>
    </row>
    <row r="241" spans="2:35" x14ac:dyDescent="0.5">
      <c r="B241" s="146" t="s">
        <v>968</v>
      </c>
      <c r="C241" s="211"/>
      <c r="D241" s="211"/>
      <c r="E241" s="211"/>
      <c r="F241" s="211"/>
      <c r="G241" s="211">
        <f t="shared" ref="G241:Q241" si="128">G234+G237-G230+G238</f>
        <v>5.6430000000000007</v>
      </c>
      <c r="H241" s="211">
        <f t="shared" si="128"/>
        <v>7.0709999999999962</v>
      </c>
      <c r="I241" s="211">
        <f t="shared" si="128"/>
        <v>11.361000000000001</v>
      </c>
      <c r="J241" s="211">
        <f t="shared" si="128"/>
        <v>11.229999999999993</v>
      </c>
      <c r="K241" s="211">
        <f t="shared" si="128"/>
        <v>21.114000000000001</v>
      </c>
      <c r="L241" s="211">
        <f t="shared" si="128"/>
        <v>14.117000000000001</v>
      </c>
      <c r="M241" s="211">
        <f t="shared" si="128"/>
        <v>22.769999999999996</v>
      </c>
      <c r="N241" s="211">
        <f t="shared" si="128"/>
        <v>24.259999999999998</v>
      </c>
      <c r="O241" s="211">
        <f t="shared" si="128"/>
        <v>31.25800000000001</v>
      </c>
      <c r="P241" s="211">
        <f t="shared" si="128"/>
        <v>26.967000000000009</v>
      </c>
      <c r="Q241" s="211">
        <f t="shared" si="128"/>
        <v>30.522000000000006</v>
      </c>
      <c r="R241" s="211"/>
      <c r="S241" s="211"/>
      <c r="T241" s="211"/>
      <c r="U241" s="211"/>
      <c r="V241" s="211"/>
      <c r="W241" s="211"/>
      <c r="X241" s="211"/>
      <c r="Y241" s="211"/>
      <c r="Z241" s="211"/>
      <c r="AG241" s="211"/>
      <c r="AH241" s="315"/>
      <c r="AI241" s="315"/>
    </row>
    <row r="242" spans="2:35" x14ac:dyDescent="0.5">
      <c r="B242" s="205" t="s">
        <v>957</v>
      </c>
      <c r="AH242" s="315"/>
      <c r="AI242" s="315"/>
    </row>
    <row r="243" spans="2:35" x14ac:dyDescent="0.5">
      <c r="AH243" s="312"/>
      <c r="AI243" s="312"/>
    </row>
    <row r="244" spans="2:35" x14ac:dyDescent="0.5">
      <c r="B244" s="146" t="s">
        <v>964</v>
      </c>
      <c r="C244" s="211">
        <v>8.6140000000000008</v>
      </c>
      <c r="D244" s="211">
        <v>11.061999999999999</v>
      </c>
      <c r="E244" s="211">
        <v>20.076000000000001</v>
      </c>
      <c r="F244" s="211">
        <v>27.885000000000002</v>
      </c>
      <c r="G244" s="211">
        <v>15.047000000000001</v>
      </c>
      <c r="H244" s="211">
        <v>7.2919999999999998</v>
      </c>
      <c r="I244" s="211">
        <v>18.204000000000001</v>
      </c>
      <c r="J244" s="211">
        <v>68.049000000000007</v>
      </c>
      <c r="K244" s="211">
        <v>71.004000000000005</v>
      </c>
      <c r="L244" s="211">
        <v>94.604500000000002</v>
      </c>
      <c r="M244" s="211">
        <v>105.39700000000001</v>
      </c>
      <c r="N244" s="211">
        <v>108.28400000000001</v>
      </c>
      <c r="O244" s="211">
        <v>158.22</v>
      </c>
      <c r="P244" s="211">
        <v>183.76599999999999</v>
      </c>
      <c r="Q244" s="211">
        <v>222.31100000000001</v>
      </c>
      <c r="R244" s="211">
        <v>220.3</v>
      </c>
      <c r="S244" s="211"/>
      <c r="T244" s="211"/>
      <c r="U244" s="211"/>
      <c r="V244" s="211"/>
      <c r="W244" s="211"/>
      <c r="X244" s="211"/>
      <c r="AH244" s="315"/>
      <c r="AI244" s="315"/>
    </row>
    <row r="245" spans="2:35" x14ac:dyDescent="0.5">
      <c r="B245" s="146" t="s">
        <v>965</v>
      </c>
      <c r="C245" s="211">
        <v>4.8179999999999996</v>
      </c>
      <c r="D245" s="211">
        <v>4.3419999999999996</v>
      </c>
      <c r="E245" s="211">
        <v>6.0140000000000002</v>
      </c>
      <c r="F245" s="211">
        <v>6.88</v>
      </c>
      <c r="G245" s="211">
        <v>16.786000000000001</v>
      </c>
      <c r="H245" s="211">
        <v>26.442</v>
      </c>
      <c r="I245" s="211">
        <v>41.81</v>
      </c>
      <c r="J245" s="211">
        <v>43.683999999999997</v>
      </c>
      <c r="K245" s="211">
        <v>56.497</v>
      </c>
      <c r="L245" s="211">
        <v>171.36125000000001</v>
      </c>
      <c r="M245" s="211">
        <v>187.66925000000001</v>
      </c>
      <c r="N245" s="211">
        <v>227.91300000000001</v>
      </c>
      <c r="O245" s="211">
        <v>251.84399999999999</v>
      </c>
      <c r="P245" s="211">
        <v>270.21899999999999</v>
      </c>
      <c r="Q245" s="211">
        <v>319.98700000000002</v>
      </c>
      <c r="R245" s="211">
        <v>247.8</v>
      </c>
      <c r="S245" s="211"/>
      <c r="T245" s="211"/>
      <c r="U245" s="211"/>
      <c r="V245" s="211"/>
      <c r="W245" s="211"/>
      <c r="X245" s="211"/>
      <c r="AH245" s="315"/>
      <c r="AI245" s="315"/>
    </row>
    <row r="246" spans="2:35" x14ac:dyDescent="0.5">
      <c r="AH246" s="315"/>
      <c r="AI246" s="315"/>
    </row>
    <row r="247" spans="2:35" x14ac:dyDescent="0.5">
      <c r="B247" s="146" t="s">
        <v>966</v>
      </c>
      <c r="D247" s="211">
        <f t="shared" ref="D247:P247" si="129">D244-C244</f>
        <v>2.4479999999999986</v>
      </c>
      <c r="E247" s="211">
        <f t="shared" si="129"/>
        <v>9.0140000000000011</v>
      </c>
      <c r="F247" s="211">
        <f t="shared" si="129"/>
        <v>7.8090000000000011</v>
      </c>
      <c r="G247" s="211">
        <f t="shared" si="129"/>
        <v>-12.838000000000001</v>
      </c>
      <c r="H247" s="211">
        <f t="shared" si="129"/>
        <v>-7.7550000000000008</v>
      </c>
      <c r="I247" s="211">
        <f t="shared" si="129"/>
        <v>10.912000000000001</v>
      </c>
      <c r="J247" s="211">
        <f t="shared" si="129"/>
        <v>49.845000000000006</v>
      </c>
      <c r="K247" s="211">
        <f t="shared" si="129"/>
        <v>2.9549999999999983</v>
      </c>
      <c r="L247" s="211">
        <f t="shared" si="129"/>
        <v>23.600499999999997</v>
      </c>
      <c r="M247" s="211">
        <f t="shared" si="129"/>
        <v>10.792500000000004</v>
      </c>
      <c r="N247" s="211">
        <f t="shared" si="129"/>
        <v>2.8870000000000005</v>
      </c>
      <c r="O247" s="211">
        <f t="shared" si="129"/>
        <v>49.935999999999993</v>
      </c>
      <c r="P247" s="211">
        <f t="shared" si="129"/>
        <v>25.545999999999992</v>
      </c>
      <c r="Q247" s="211">
        <f>Q244-P244</f>
        <v>38.545000000000016</v>
      </c>
      <c r="R247" s="211">
        <f>R244-Q244</f>
        <v>-2.0109999999999957</v>
      </c>
      <c r="S247" s="211"/>
      <c r="T247" s="211"/>
      <c r="U247" s="211"/>
      <c r="V247" s="211"/>
      <c r="W247" s="211"/>
      <c r="X247" s="211"/>
      <c r="AH247" s="316"/>
      <c r="AI247" s="316"/>
    </row>
    <row r="248" spans="2:35" x14ac:dyDescent="0.5">
      <c r="B248" s="146" t="s">
        <v>967</v>
      </c>
      <c r="D248" s="211">
        <f t="shared" ref="D248:P248" si="130">D245-C245</f>
        <v>-0.47599999999999998</v>
      </c>
      <c r="E248" s="211">
        <f t="shared" si="130"/>
        <v>1.6720000000000006</v>
      </c>
      <c r="F248" s="211">
        <f t="shared" si="130"/>
        <v>0.86599999999999966</v>
      </c>
      <c r="G248" s="211">
        <f t="shared" si="130"/>
        <v>9.9060000000000024</v>
      </c>
      <c r="H248" s="211">
        <f t="shared" si="130"/>
        <v>9.6559999999999988</v>
      </c>
      <c r="I248" s="211">
        <f t="shared" si="130"/>
        <v>15.368000000000002</v>
      </c>
      <c r="J248" s="211">
        <f t="shared" si="130"/>
        <v>1.8739999999999952</v>
      </c>
      <c r="K248" s="211">
        <f t="shared" si="130"/>
        <v>12.813000000000002</v>
      </c>
      <c r="L248" s="211">
        <f t="shared" si="130"/>
        <v>114.86425000000001</v>
      </c>
      <c r="M248" s="211">
        <f t="shared" si="130"/>
        <v>16.307999999999993</v>
      </c>
      <c r="N248" s="211">
        <f t="shared" si="130"/>
        <v>40.243750000000006</v>
      </c>
      <c r="O248" s="211">
        <f t="shared" si="130"/>
        <v>23.930999999999983</v>
      </c>
      <c r="P248" s="211">
        <f t="shared" si="130"/>
        <v>18.375</v>
      </c>
      <c r="Q248" s="211">
        <f>Q245-P245</f>
        <v>49.768000000000029</v>
      </c>
      <c r="R248" s="211">
        <f>R245-Q245</f>
        <v>-72.187000000000012</v>
      </c>
      <c r="S248" s="211"/>
      <c r="T248" s="211"/>
      <c r="U248" s="211"/>
      <c r="V248" s="211"/>
      <c r="W248" s="211"/>
      <c r="X248" s="211"/>
      <c r="AH248" s="316"/>
      <c r="AI248" s="316"/>
    </row>
    <row r="249" spans="2:35" x14ac:dyDescent="0.5">
      <c r="AH249" s="316"/>
      <c r="AI249" s="316"/>
    </row>
    <row r="250" spans="2:35" x14ac:dyDescent="0.5">
      <c r="AH250" s="306"/>
      <c r="AI250" s="306"/>
    </row>
    <row r="251" spans="2:35" x14ac:dyDescent="0.5">
      <c r="AH251" s="301"/>
      <c r="AI251" s="301"/>
    </row>
    <row r="252" spans="2:35" x14ac:dyDescent="0.5">
      <c r="AH252" s="309"/>
      <c r="AI252" s="307"/>
    </row>
  </sheetData>
  <phoneticPr fontId="31" type="noConversion"/>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DC724-8819-4015-B567-73292E76C277}">
  <dimension ref="B3:AI1098"/>
  <sheetViews>
    <sheetView showGridLines="0" topLeftCell="B1070" zoomScale="75" workbookViewId="0">
      <selection activeCell="R1077" sqref="R1077"/>
    </sheetView>
  </sheetViews>
  <sheetFormatPr defaultRowHeight="14.4" outlineLevelRow="1" x14ac:dyDescent="0.55000000000000004"/>
  <cols>
    <col min="2" max="2" width="21.47265625" customWidth="1"/>
    <col min="3" max="5" width="8.7890625" customWidth="1"/>
    <col min="24" max="26" width="8.83984375" customWidth="1"/>
  </cols>
  <sheetData>
    <row r="3" spans="2:13" x14ac:dyDescent="0.55000000000000004">
      <c r="B3" s="1" t="s">
        <v>192</v>
      </c>
      <c r="C3" s="5" t="s">
        <v>77</v>
      </c>
      <c r="D3" s="5" t="s">
        <v>61</v>
      </c>
      <c r="E3" s="5" t="s">
        <v>66</v>
      </c>
      <c r="F3" s="5"/>
      <c r="G3" s="5" t="s">
        <v>18</v>
      </c>
      <c r="H3" s="5" t="s">
        <v>65</v>
      </c>
    </row>
    <row r="4" spans="2:13" x14ac:dyDescent="0.55000000000000004">
      <c r="B4" t="s">
        <v>64</v>
      </c>
      <c r="C4">
        <f t="shared" ref="C4:C18" si="0">D4+E4</f>
        <v>111.10000000000001</v>
      </c>
      <c r="D4">
        <v>7.2</v>
      </c>
      <c r="E4">
        <v>103.9</v>
      </c>
      <c r="F4" s="2">
        <f>D4/C4</f>
        <v>6.480648064806481E-2</v>
      </c>
      <c r="G4">
        <v>9.3000000000000007</v>
      </c>
      <c r="H4">
        <f t="shared" ref="H4:H12" si="1">C4+G4</f>
        <v>120.4</v>
      </c>
    </row>
    <row r="5" spans="2:13" x14ac:dyDescent="0.55000000000000004">
      <c r="B5" t="s">
        <v>68</v>
      </c>
      <c r="C5">
        <f t="shared" si="0"/>
        <v>37.5</v>
      </c>
      <c r="D5" s="13">
        <v>8.1</v>
      </c>
      <c r="E5" s="13">
        <v>29.4</v>
      </c>
      <c r="F5" s="2">
        <f t="shared" ref="F5:F20" si="2">D5/C5</f>
        <v>0.216</v>
      </c>
      <c r="G5" s="13">
        <v>52.2</v>
      </c>
      <c r="H5">
        <f t="shared" si="1"/>
        <v>89.7</v>
      </c>
    </row>
    <row r="6" spans="2:13" x14ac:dyDescent="0.55000000000000004">
      <c r="B6" t="s">
        <v>71</v>
      </c>
      <c r="C6">
        <f t="shared" si="0"/>
        <v>15.9</v>
      </c>
      <c r="D6" s="13">
        <v>2.9</v>
      </c>
      <c r="E6" s="13">
        <v>13</v>
      </c>
      <c r="F6" s="2">
        <f t="shared" si="2"/>
        <v>0.18238993710691823</v>
      </c>
      <c r="G6" s="13">
        <v>11.8</v>
      </c>
      <c r="H6">
        <f t="shared" si="1"/>
        <v>27.700000000000003</v>
      </c>
    </row>
    <row r="7" spans="2:13" x14ac:dyDescent="0.55000000000000004">
      <c r="B7" t="s">
        <v>74</v>
      </c>
      <c r="C7">
        <f t="shared" si="0"/>
        <v>13.2</v>
      </c>
      <c r="D7" s="13">
        <v>3.6</v>
      </c>
      <c r="E7" s="13">
        <v>9.6</v>
      </c>
      <c r="F7" s="2">
        <f t="shared" si="2"/>
        <v>0.27272727272727276</v>
      </c>
      <c r="G7" s="13">
        <v>2</v>
      </c>
      <c r="H7">
        <f t="shared" si="1"/>
        <v>15.2</v>
      </c>
      <c r="L7" s="37" t="s">
        <v>194</v>
      </c>
      <c r="M7" s="37" t="s">
        <v>195</v>
      </c>
    </row>
    <row r="8" spans="2:13" x14ac:dyDescent="0.55000000000000004">
      <c r="B8" t="s">
        <v>75</v>
      </c>
      <c r="C8">
        <f t="shared" si="0"/>
        <v>12.3</v>
      </c>
      <c r="D8" s="13">
        <v>0.4</v>
      </c>
      <c r="E8" s="13">
        <v>11.9</v>
      </c>
      <c r="F8" s="2">
        <f t="shared" si="2"/>
        <v>3.2520325203252029E-2</v>
      </c>
      <c r="G8" s="13">
        <v>1.3</v>
      </c>
      <c r="H8">
        <f t="shared" si="1"/>
        <v>13.600000000000001</v>
      </c>
      <c r="K8" t="s">
        <v>51</v>
      </c>
      <c r="L8">
        <f>C21</f>
        <v>356.4</v>
      </c>
      <c r="M8">
        <f>C21</f>
        <v>356.4</v>
      </c>
    </row>
    <row r="9" spans="2:13" x14ac:dyDescent="0.55000000000000004">
      <c r="B9" t="s">
        <v>76</v>
      </c>
      <c r="C9" s="4">
        <f t="shared" si="0"/>
        <v>8</v>
      </c>
      <c r="D9" s="13">
        <v>1.2</v>
      </c>
      <c r="E9" s="13">
        <v>6.8</v>
      </c>
      <c r="F9" s="2">
        <f t="shared" si="2"/>
        <v>0.15</v>
      </c>
      <c r="G9" s="13">
        <v>6.6</v>
      </c>
      <c r="H9">
        <f t="shared" si="1"/>
        <v>14.6</v>
      </c>
      <c r="K9" t="s">
        <v>18</v>
      </c>
      <c r="L9">
        <f>G22</f>
        <v>172.29999999999995</v>
      </c>
      <c r="M9" s="13">
        <f>G21</f>
        <v>814.19999999999993</v>
      </c>
    </row>
    <row r="10" spans="2:13" x14ac:dyDescent="0.55000000000000004">
      <c r="B10" t="s">
        <v>67</v>
      </c>
      <c r="C10">
        <f t="shared" si="0"/>
        <v>85.5</v>
      </c>
      <c r="D10" s="13">
        <v>15.4</v>
      </c>
      <c r="E10" s="13">
        <v>70.099999999999994</v>
      </c>
      <c r="F10" s="2">
        <f t="shared" si="2"/>
        <v>0.18011695906432748</v>
      </c>
      <c r="G10" s="13">
        <v>641.9</v>
      </c>
      <c r="H10">
        <f t="shared" si="1"/>
        <v>727.4</v>
      </c>
      <c r="L10" s="2">
        <f>L8/SUM(L8:L9)</f>
        <v>0.67410629846794023</v>
      </c>
    </row>
    <row r="11" spans="2:13" x14ac:dyDescent="0.55000000000000004">
      <c r="B11" t="s">
        <v>69</v>
      </c>
      <c r="C11">
        <f t="shared" si="0"/>
        <v>32.9</v>
      </c>
      <c r="D11" s="13">
        <v>3.5</v>
      </c>
      <c r="E11" s="13">
        <v>29.4</v>
      </c>
      <c r="F11" s="2">
        <f t="shared" si="2"/>
        <v>0.10638297872340426</v>
      </c>
      <c r="G11" s="13">
        <v>40.9</v>
      </c>
      <c r="H11">
        <f t="shared" si="1"/>
        <v>73.8</v>
      </c>
    </row>
    <row r="12" spans="2:13" x14ac:dyDescent="0.55000000000000004">
      <c r="B12" t="s">
        <v>70</v>
      </c>
      <c r="C12">
        <f t="shared" si="0"/>
        <v>28.2</v>
      </c>
      <c r="D12" s="13">
        <v>2.4</v>
      </c>
      <c r="E12" s="13">
        <v>25.8</v>
      </c>
      <c r="F12" s="2">
        <f t="shared" si="2"/>
        <v>8.5106382978723402E-2</v>
      </c>
      <c r="G12" s="13">
        <v>7.1</v>
      </c>
      <c r="H12">
        <f t="shared" si="1"/>
        <v>35.299999999999997</v>
      </c>
    </row>
    <row r="13" spans="2:13" x14ac:dyDescent="0.55000000000000004">
      <c r="B13" t="s">
        <v>72</v>
      </c>
      <c r="C13">
        <f t="shared" si="0"/>
        <v>22.9</v>
      </c>
      <c r="D13" s="13">
        <v>1.9</v>
      </c>
      <c r="E13" s="13">
        <v>21</v>
      </c>
      <c r="F13" s="2">
        <f t="shared" si="2"/>
        <v>8.296943231441048E-2</v>
      </c>
      <c r="G13" s="20" t="s">
        <v>73</v>
      </c>
    </row>
    <row r="14" spans="2:13" x14ac:dyDescent="0.55000000000000004">
      <c r="B14" t="s">
        <v>198</v>
      </c>
      <c r="C14">
        <f t="shared" si="0"/>
        <v>3.4</v>
      </c>
      <c r="D14" s="13">
        <v>0.3</v>
      </c>
      <c r="E14" s="13">
        <v>3.1</v>
      </c>
      <c r="F14" s="2">
        <f t="shared" si="2"/>
        <v>8.8235294117647065E-2</v>
      </c>
      <c r="G14" s="20">
        <v>28.7</v>
      </c>
    </row>
    <row r="15" spans="2:13" x14ac:dyDescent="0.55000000000000004">
      <c r="B15" t="s">
        <v>199</v>
      </c>
      <c r="C15">
        <f t="shared" si="0"/>
        <v>0.5</v>
      </c>
      <c r="D15" s="13">
        <v>0</v>
      </c>
      <c r="E15" s="13">
        <v>0.5</v>
      </c>
      <c r="F15" s="2">
        <f t="shared" si="2"/>
        <v>0</v>
      </c>
      <c r="G15" s="20">
        <v>8.6999999999999993</v>
      </c>
    </row>
    <row r="16" spans="2:13" x14ac:dyDescent="0.55000000000000004">
      <c r="B16" t="s">
        <v>200</v>
      </c>
      <c r="C16">
        <f t="shared" si="0"/>
        <v>0.2</v>
      </c>
      <c r="D16" s="13">
        <v>0</v>
      </c>
      <c r="E16" s="13">
        <v>0.2</v>
      </c>
      <c r="F16" s="2">
        <f t="shared" si="2"/>
        <v>0</v>
      </c>
      <c r="G16" s="20">
        <v>0.9</v>
      </c>
    </row>
    <row r="17" spans="2:8" x14ac:dyDescent="0.55000000000000004">
      <c r="B17" t="s">
        <v>201</v>
      </c>
      <c r="C17">
        <f t="shared" si="0"/>
        <v>4.5</v>
      </c>
      <c r="D17" s="13">
        <v>0.4</v>
      </c>
      <c r="E17" s="13">
        <v>4.0999999999999996</v>
      </c>
      <c r="F17" s="2">
        <f t="shared" si="2"/>
        <v>8.8888888888888892E-2</v>
      </c>
      <c r="G17" s="20">
        <v>2.5</v>
      </c>
    </row>
    <row r="18" spans="2:8" x14ac:dyDescent="0.55000000000000004">
      <c r="B18" t="s">
        <v>202</v>
      </c>
      <c r="C18">
        <f t="shared" si="0"/>
        <v>3.1999999999999997</v>
      </c>
      <c r="D18" s="13">
        <v>0.4</v>
      </c>
      <c r="E18" s="13">
        <v>2.8</v>
      </c>
      <c r="F18" s="2">
        <f t="shared" si="2"/>
        <v>0.12500000000000003</v>
      </c>
      <c r="G18" s="20">
        <v>0.3</v>
      </c>
    </row>
    <row r="19" spans="2:8" x14ac:dyDescent="0.55000000000000004">
      <c r="B19" s="14"/>
      <c r="C19" s="14"/>
      <c r="D19" s="18"/>
      <c r="E19" s="18"/>
      <c r="F19" s="2"/>
      <c r="G19" s="14"/>
      <c r="H19" s="14"/>
    </row>
    <row r="20" spans="2:8" x14ac:dyDescent="0.55000000000000004">
      <c r="B20" t="s">
        <v>196</v>
      </c>
      <c r="C20">
        <f>D20+E20</f>
        <v>445</v>
      </c>
      <c r="D20" s="13">
        <f>Master!E23</f>
        <v>63</v>
      </c>
      <c r="E20" s="13">
        <f>Master!E29</f>
        <v>382</v>
      </c>
      <c r="F20" s="2">
        <f t="shared" si="2"/>
        <v>0.14157303370786517</v>
      </c>
      <c r="G20" s="13">
        <f>Master!E34</f>
        <v>814</v>
      </c>
      <c r="H20">
        <f>C20+G20</f>
        <v>1259</v>
      </c>
    </row>
    <row r="21" spans="2:8" x14ac:dyDescent="0.55000000000000004">
      <c r="B21" t="s">
        <v>197</v>
      </c>
      <c r="C21">
        <f>SUM(C14:C18)+SUM(C4:C12)</f>
        <v>356.4</v>
      </c>
      <c r="D21" s="13"/>
      <c r="E21" s="13"/>
      <c r="F21" s="2"/>
      <c r="G21" s="13">
        <f>SUM(G14:G18)+SUM(G4:G12)</f>
        <v>814.19999999999993</v>
      </c>
    </row>
    <row r="22" spans="2:8" x14ac:dyDescent="0.55000000000000004">
      <c r="B22" t="s">
        <v>203</v>
      </c>
      <c r="C22">
        <f>C21-C10</f>
        <v>270.89999999999998</v>
      </c>
      <c r="D22" s="13"/>
      <c r="E22" s="13"/>
      <c r="F22" s="2"/>
      <c r="G22">
        <f>G21-G10</f>
        <v>172.29999999999995</v>
      </c>
    </row>
    <row r="24" spans="2:8" x14ac:dyDescent="0.55000000000000004">
      <c r="B24" t="s">
        <v>78</v>
      </c>
      <c r="C24">
        <f>SUM(C4:C9)</f>
        <v>198.00000000000003</v>
      </c>
      <c r="D24">
        <f>SUM(D4:D9)</f>
        <v>23.4</v>
      </c>
    </row>
    <row r="25" spans="2:8" x14ac:dyDescent="0.55000000000000004">
      <c r="B25" s="14" t="s">
        <v>79</v>
      </c>
      <c r="C25" s="14">
        <v>14</v>
      </c>
      <c r="D25">
        <f>1.7+1.5+0.6+0.3+0.7+0.4</f>
        <v>5.2000000000000011</v>
      </c>
    </row>
    <row r="26" spans="2:8" x14ac:dyDescent="0.55000000000000004">
      <c r="B26" t="s">
        <v>65</v>
      </c>
      <c r="C26">
        <f>SUM(C24:C25)</f>
        <v>212.00000000000003</v>
      </c>
      <c r="D26">
        <f>SUM(D24:D25)</f>
        <v>28.6</v>
      </c>
    </row>
    <row r="29" spans="2:8" x14ac:dyDescent="0.55000000000000004">
      <c r="B29" t="s">
        <v>74</v>
      </c>
      <c r="C29" s="2">
        <v>0.27272727272727276</v>
      </c>
    </row>
    <row r="30" spans="2:8" x14ac:dyDescent="0.55000000000000004">
      <c r="B30" t="s">
        <v>68</v>
      </c>
      <c r="C30" s="2">
        <v>0.216</v>
      </c>
    </row>
    <row r="31" spans="2:8" x14ac:dyDescent="0.55000000000000004">
      <c r="B31" t="s">
        <v>63</v>
      </c>
      <c r="C31" s="2">
        <v>0.21161290322580636</v>
      </c>
    </row>
    <row r="32" spans="2:8" x14ac:dyDescent="0.55000000000000004">
      <c r="B32" t="s">
        <v>71</v>
      </c>
      <c r="C32" s="2">
        <v>0.18238993710691823</v>
      </c>
    </row>
    <row r="33" spans="2:3" x14ac:dyDescent="0.55000000000000004">
      <c r="B33" t="s">
        <v>67</v>
      </c>
      <c r="C33" s="2">
        <v>0.18011695906432748</v>
      </c>
    </row>
    <row r="34" spans="2:3" x14ac:dyDescent="0.55000000000000004">
      <c r="B34" t="s">
        <v>76</v>
      </c>
      <c r="C34" s="2">
        <v>0.15</v>
      </c>
    </row>
    <row r="35" spans="2:3" x14ac:dyDescent="0.55000000000000004">
      <c r="B35" t="s">
        <v>190</v>
      </c>
      <c r="C35" s="2">
        <v>0.14157303370786517</v>
      </c>
    </row>
    <row r="36" spans="2:3" x14ac:dyDescent="0.55000000000000004">
      <c r="B36" t="s">
        <v>69</v>
      </c>
      <c r="C36" s="2">
        <v>0.10638297872340426</v>
      </c>
    </row>
    <row r="37" spans="2:3" x14ac:dyDescent="0.55000000000000004">
      <c r="B37" t="s">
        <v>70</v>
      </c>
      <c r="C37" s="2">
        <v>8.5106382978723402E-2</v>
      </c>
    </row>
    <row r="38" spans="2:3" x14ac:dyDescent="0.55000000000000004">
      <c r="B38" t="s">
        <v>72</v>
      </c>
      <c r="C38" s="2">
        <v>8.296943231441048E-2</v>
      </c>
    </row>
    <row r="39" spans="2:3" x14ac:dyDescent="0.55000000000000004">
      <c r="B39" t="s">
        <v>64</v>
      </c>
      <c r="C39" s="2">
        <v>6.480648064806481E-2</v>
      </c>
    </row>
    <row r="40" spans="2:3" x14ac:dyDescent="0.55000000000000004">
      <c r="B40" t="s">
        <v>75</v>
      </c>
      <c r="C40" s="2">
        <v>3.2520325203252029E-2</v>
      </c>
    </row>
    <row r="42" spans="2:3" x14ac:dyDescent="0.55000000000000004">
      <c r="B42" t="s">
        <v>191</v>
      </c>
    </row>
    <row r="43" spans="2:3" x14ac:dyDescent="0.55000000000000004">
      <c r="B43" t="s">
        <v>193</v>
      </c>
      <c r="C43" s="9">
        <v>16.400000000000006</v>
      </c>
    </row>
    <row r="44" spans="2:3" x14ac:dyDescent="0.55000000000000004">
      <c r="B44" t="s">
        <v>67</v>
      </c>
      <c r="C44" s="13">
        <v>15.4</v>
      </c>
    </row>
    <row r="45" spans="2:3" x14ac:dyDescent="0.55000000000000004">
      <c r="B45" t="s">
        <v>68</v>
      </c>
      <c r="C45" s="13">
        <v>8.1</v>
      </c>
    </row>
    <row r="46" spans="2:3" x14ac:dyDescent="0.55000000000000004">
      <c r="B46" t="s">
        <v>64</v>
      </c>
      <c r="C46">
        <v>7.2</v>
      </c>
    </row>
    <row r="47" spans="2:3" x14ac:dyDescent="0.55000000000000004">
      <c r="B47" t="s">
        <v>74</v>
      </c>
      <c r="C47" s="13">
        <v>3.6</v>
      </c>
    </row>
    <row r="48" spans="2:3" x14ac:dyDescent="0.55000000000000004">
      <c r="B48" t="s">
        <v>69</v>
      </c>
      <c r="C48" s="13">
        <v>3.5</v>
      </c>
    </row>
    <row r="49" spans="2:4" x14ac:dyDescent="0.55000000000000004">
      <c r="B49" t="s">
        <v>71</v>
      </c>
      <c r="C49" s="13">
        <v>2.9</v>
      </c>
    </row>
    <row r="50" spans="2:4" x14ac:dyDescent="0.55000000000000004">
      <c r="B50" t="s">
        <v>70</v>
      </c>
      <c r="C50" s="13">
        <v>2.4</v>
      </c>
    </row>
    <row r="51" spans="2:4" x14ac:dyDescent="0.55000000000000004">
      <c r="B51" t="s">
        <v>72</v>
      </c>
      <c r="C51" s="13">
        <v>1.9</v>
      </c>
    </row>
    <row r="52" spans="2:4" x14ac:dyDescent="0.55000000000000004">
      <c r="B52" t="s">
        <v>76</v>
      </c>
      <c r="C52" s="13">
        <v>1.2</v>
      </c>
    </row>
    <row r="53" spans="2:4" x14ac:dyDescent="0.55000000000000004">
      <c r="B53" t="s">
        <v>75</v>
      </c>
      <c r="C53" s="13">
        <v>0.4</v>
      </c>
    </row>
    <row r="54" spans="2:4" x14ac:dyDescent="0.55000000000000004">
      <c r="C54" s="13"/>
    </row>
    <row r="55" spans="2:4" x14ac:dyDescent="0.55000000000000004">
      <c r="B55" t="s">
        <v>51</v>
      </c>
      <c r="C55" s="2">
        <v>0.27</v>
      </c>
    </row>
    <row r="56" spans="2:4" x14ac:dyDescent="0.55000000000000004">
      <c r="B56" t="s">
        <v>18</v>
      </c>
      <c r="C56" s="2">
        <v>0.35</v>
      </c>
    </row>
    <row r="58" spans="2:4" x14ac:dyDescent="0.55000000000000004">
      <c r="B58" s="14"/>
      <c r="C58" s="14" t="s">
        <v>271</v>
      </c>
      <c r="D58" s="14" t="s">
        <v>18</v>
      </c>
    </row>
    <row r="59" spans="2:4" x14ac:dyDescent="0.55000000000000004">
      <c r="B59">
        <v>2019</v>
      </c>
      <c r="C59">
        <v>40</v>
      </c>
      <c r="D59">
        <v>60</v>
      </c>
    </row>
    <row r="60" spans="2:4" x14ac:dyDescent="0.55000000000000004">
      <c r="B60">
        <v>2020</v>
      </c>
      <c r="C60">
        <v>60</v>
      </c>
      <c r="D60">
        <v>40</v>
      </c>
    </row>
    <row r="61" spans="2:4" x14ac:dyDescent="0.55000000000000004">
      <c r="B61" s="37" t="s">
        <v>272</v>
      </c>
      <c r="C61">
        <v>50</v>
      </c>
      <c r="D61">
        <v>50</v>
      </c>
    </row>
    <row r="84" spans="2:5" x14ac:dyDescent="0.55000000000000004">
      <c r="B84" t="s">
        <v>209</v>
      </c>
    </row>
    <row r="86" spans="2:5" x14ac:dyDescent="0.55000000000000004">
      <c r="B86" t="s">
        <v>210</v>
      </c>
      <c r="C86" s="3">
        <f>Master!E62</f>
        <v>2.7168539325842698E-3</v>
      </c>
    </row>
    <row r="87" spans="2:5" x14ac:dyDescent="0.55000000000000004">
      <c r="B87" t="s">
        <v>211</v>
      </c>
      <c r="C87" s="3">
        <f>Master!E63</f>
        <v>1.3433333333333334E-2</v>
      </c>
    </row>
    <row r="88" spans="2:5" x14ac:dyDescent="0.55000000000000004">
      <c r="B88" t="s">
        <v>212</v>
      </c>
      <c r="C88" s="3">
        <f>Master!E64</f>
        <v>5.1325471698113207E-3</v>
      </c>
    </row>
    <row r="89" spans="2:5" x14ac:dyDescent="0.55000000000000004">
      <c r="B89" t="s">
        <v>213</v>
      </c>
      <c r="C89" s="3">
        <f>Master!E65</f>
        <v>2.6631818181818184E-2</v>
      </c>
    </row>
    <row r="90" spans="2:5" x14ac:dyDescent="0.55000000000000004">
      <c r="B90" t="s">
        <v>216</v>
      </c>
      <c r="C90" s="3">
        <f>Master!E75</f>
        <v>0.12228571428571429</v>
      </c>
    </row>
    <row r="93" spans="2:5" x14ac:dyDescent="0.55000000000000004">
      <c r="B93" s="14"/>
      <c r="C93" s="43" t="s">
        <v>233</v>
      </c>
      <c r="D93" s="43" t="s">
        <v>232</v>
      </c>
      <c r="E93" s="43" t="s">
        <v>234</v>
      </c>
    </row>
    <row r="94" spans="2:5" x14ac:dyDescent="0.55000000000000004">
      <c r="B94" t="s">
        <v>30</v>
      </c>
      <c r="C94">
        <f>0.06*Master!E43*1000*0.9</f>
        <v>111.456</v>
      </c>
      <c r="D94">
        <v>3156</v>
      </c>
      <c r="E94" s="3">
        <f>C94/D94</f>
        <v>3.5315589353612169E-2</v>
      </c>
    </row>
    <row r="95" spans="2:5" x14ac:dyDescent="0.55000000000000004">
      <c r="B95" t="s">
        <v>235</v>
      </c>
      <c r="C95">
        <f>0.06*Master!E43*1000*0.9</f>
        <v>111.456</v>
      </c>
      <c r="D95">
        <v>2283</v>
      </c>
      <c r="E95" s="3">
        <f>C95/D95</f>
        <v>4.8819973718791064E-2</v>
      </c>
    </row>
    <row r="97" spans="2:7" x14ac:dyDescent="0.55000000000000004">
      <c r="B97" t="s">
        <v>236</v>
      </c>
    </row>
    <row r="99" spans="2:7" x14ac:dyDescent="0.55000000000000004">
      <c r="B99" t="s">
        <v>33</v>
      </c>
      <c r="C99" s="3">
        <f>E95</f>
        <v>4.8819973718791064E-2</v>
      </c>
    </row>
    <row r="100" spans="2:7" x14ac:dyDescent="0.55000000000000004">
      <c r="B100" t="s">
        <v>30</v>
      </c>
      <c r="C100" s="3">
        <f>E94</f>
        <v>3.5315589353612169E-2</v>
      </c>
    </row>
    <row r="105" spans="2:7" x14ac:dyDescent="0.55000000000000004">
      <c r="B105" t="s">
        <v>237</v>
      </c>
      <c r="D105" s="37" t="s">
        <v>242</v>
      </c>
      <c r="E105" s="37" t="s">
        <v>0</v>
      </c>
      <c r="F105" s="37" t="s">
        <v>244</v>
      </c>
    </row>
    <row r="106" spans="2:7" x14ac:dyDescent="0.55000000000000004">
      <c r="B106" s="14" t="s">
        <v>245</v>
      </c>
      <c r="C106" s="14">
        <v>2019</v>
      </c>
      <c r="D106" s="14">
        <v>2020</v>
      </c>
      <c r="E106" s="14"/>
      <c r="F106" s="14"/>
    </row>
    <row r="107" spans="2:7" x14ac:dyDescent="0.55000000000000004">
      <c r="B107" t="s">
        <v>239</v>
      </c>
      <c r="C107">
        <v>348</v>
      </c>
      <c r="D107">
        <v>425</v>
      </c>
    </row>
    <row r="108" spans="2:7" x14ac:dyDescent="0.55000000000000004">
      <c r="B108" t="s">
        <v>238</v>
      </c>
      <c r="C108">
        <v>80</v>
      </c>
      <c r="D108">
        <v>133</v>
      </c>
    </row>
    <row r="109" spans="2:7" x14ac:dyDescent="0.55000000000000004">
      <c r="B109" t="s">
        <v>240</v>
      </c>
      <c r="C109">
        <v>54</v>
      </c>
      <c r="D109">
        <v>65</v>
      </c>
    </row>
    <row r="110" spans="2:7" x14ac:dyDescent="0.55000000000000004">
      <c r="B110" s="14" t="s">
        <v>241</v>
      </c>
      <c r="C110" s="14">
        <v>50</v>
      </c>
      <c r="D110" s="14">
        <v>60</v>
      </c>
      <c r="E110" s="23">
        <f>D110/F110/1000</f>
        <v>2</v>
      </c>
      <c r="F110" s="44">
        <v>0.03</v>
      </c>
      <c r="G110">
        <f>E110*1.2</f>
        <v>2.4</v>
      </c>
    </row>
    <row r="111" spans="2:7" x14ac:dyDescent="0.55000000000000004">
      <c r="B111" t="s">
        <v>243</v>
      </c>
      <c r="C111">
        <f>SUM(C107:C110)</f>
        <v>532</v>
      </c>
      <c r="D111">
        <f>SUM(D107:D110)</f>
        <v>683</v>
      </c>
      <c r="E111">
        <v>304</v>
      </c>
      <c r="F111" s="3">
        <f>D111/(E111*1000)</f>
        <v>2.2467105263157894E-3</v>
      </c>
    </row>
    <row r="115" spans="2:15" x14ac:dyDescent="0.55000000000000004">
      <c r="B115" t="s">
        <v>262</v>
      </c>
    </row>
    <row r="117" spans="2:15" x14ac:dyDescent="0.55000000000000004">
      <c r="B117" s="1" t="s">
        <v>263</v>
      </c>
      <c r="C117" s="1"/>
      <c r="D117" s="1">
        <f>Master!D2</f>
        <v>2019</v>
      </c>
      <c r="E117" s="1">
        <f>Master!E2</f>
        <v>2020</v>
      </c>
      <c r="F117" s="1">
        <f>Master!F2</f>
        <v>2021</v>
      </c>
      <c r="G117" s="1">
        <f>Master!G2</f>
        <v>2022</v>
      </c>
      <c r="H117" s="1">
        <f>Master!H2</f>
        <v>2023</v>
      </c>
      <c r="I117" s="1">
        <f>Master!I2</f>
        <v>2024</v>
      </c>
      <c r="J117" s="1">
        <f>Master!J2</f>
        <v>2025</v>
      </c>
      <c r="K117" s="1">
        <f>Master!K2</f>
        <v>2026</v>
      </c>
      <c r="L117" s="1">
        <f>Master!L2</f>
        <v>2027</v>
      </c>
      <c r="M117" s="1">
        <f>Master!M2</f>
        <v>2028</v>
      </c>
      <c r="N117" s="1">
        <f>Master!N2</f>
        <v>2029</v>
      </c>
      <c r="O117" s="1">
        <f>Master!O2</f>
        <v>2030</v>
      </c>
    </row>
    <row r="118" spans="2:15" x14ac:dyDescent="0.55000000000000004">
      <c r="B118" t="s">
        <v>266</v>
      </c>
      <c r="D118" s="2">
        <f>Master!D13</f>
        <v>0.04</v>
      </c>
      <c r="E118" s="2">
        <f>Master!E13</f>
        <v>0.06</v>
      </c>
      <c r="F118" s="2">
        <f>Master!F13</f>
        <v>7.0000000000000007E-2</v>
      </c>
      <c r="G118" s="2">
        <f>Master!G13</f>
        <v>0.08</v>
      </c>
      <c r="H118" s="2">
        <f>Master!H13</f>
        <v>0.09</v>
      </c>
      <c r="I118" s="2">
        <f>Master!I13</f>
        <v>9.9999999999999992E-2</v>
      </c>
      <c r="J118" s="2">
        <f>Master!J13</f>
        <v>0.10999999999999999</v>
      </c>
      <c r="K118" s="2">
        <f>Master!K13</f>
        <v>0.11999999999999998</v>
      </c>
      <c r="L118" s="2">
        <f>Master!L13</f>
        <v>0.12999999999999998</v>
      </c>
      <c r="M118" s="2">
        <f>Master!M13</f>
        <v>0.13999999999999999</v>
      </c>
      <c r="N118" s="2">
        <f>Master!N13</f>
        <v>0.15</v>
      </c>
      <c r="O118" s="2">
        <f>Master!O13</f>
        <v>0.16</v>
      </c>
    </row>
    <row r="119" spans="2:15" x14ac:dyDescent="0.55000000000000004">
      <c r="B119" t="s">
        <v>265</v>
      </c>
      <c r="D119" s="2">
        <f>Master!D24</f>
        <v>0</v>
      </c>
      <c r="E119" s="2">
        <f>Master!E24</f>
        <v>0.14157303370786517</v>
      </c>
      <c r="F119" s="2">
        <f>Master!F24</f>
        <v>0.14657303370786517</v>
      </c>
      <c r="G119" s="2">
        <f>Master!G24</f>
        <v>0.15157303370786518</v>
      </c>
      <c r="H119" s="2">
        <f>Master!H24</f>
        <v>0.15657303370786518</v>
      </c>
      <c r="I119" s="2">
        <f>Master!I24</f>
        <v>0.16157303370786519</v>
      </c>
      <c r="J119" s="2">
        <f>Master!J24</f>
        <v>0.16657303370786519</v>
      </c>
      <c r="K119" s="2">
        <f>Master!K24</f>
        <v>0.1715730337078652</v>
      </c>
      <c r="L119" s="2">
        <f>Master!L24</f>
        <v>0.1765730337078652</v>
      </c>
      <c r="M119" s="2">
        <f>Master!M24</f>
        <v>0.18157303370786521</v>
      </c>
      <c r="N119" s="2">
        <f>Master!N24</f>
        <v>0.18657303370786521</v>
      </c>
      <c r="O119" s="2">
        <f>Master!O24</f>
        <v>0.19157303370786521</v>
      </c>
    </row>
    <row r="121" spans="2:15" x14ac:dyDescent="0.55000000000000004">
      <c r="B121" s="10" t="s">
        <v>209</v>
      </c>
    </row>
    <row r="122" spans="2:15" x14ac:dyDescent="0.55000000000000004">
      <c r="B122" t="str">
        <f>Master!B62</f>
        <v>dLocal TPV as % EM Pay-in</v>
      </c>
      <c r="E122" s="3">
        <f>Master!E62</f>
        <v>2.7168539325842698E-3</v>
      </c>
      <c r="F122" s="3">
        <f>Master!F62</f>
        <v>7.2353713702028302E-3</v>
      </c>
      <c r="G122" s="3">
        <f>Master!G62</f>
        <v>1.1216093519464305E-2</v>
      </c>
      <c r="H122" s="3">
        <f>Master!H62</f>
        <v>1.4936436076677436E-2</v>
      </c>
      <c r="I122" s="3">
        <f>Master!I62</f>
        <v>1.8436436076677436E-2</v>
      </c>
      <c r="J122" s="3">
        <f>Master!J62</f>
        <v>2.1736436076677437E-2</v>
      </c>
      <c r="K122" s="3">
        <f>Master!K62</f>
        <v>2.4236436076677435E-2</v>
      </c>
      <c r="L122" s="3">
        <f>Master!L62</f>
        <v>2.6736436076677434E-2</v>
      </c>
      <c r="M122" s="3">
        <f>Master!M62</f>
        <v>2.7986436076677435E-2</v>
      </c>
      <c r="N122" s="3">
        <f>Master!N62</f>
        <v>2.8986436076677436E-2</v>
      </c>
      <c r="O122" s="3">
        <f>Master!O62</f>
        <v>2.9986436076677437E-2</v>
      </c>
    </row>
    <row r="123" spans="2:15" x14ac:dyDescent="0.55000000000000004">
      <c r="B123" t="str">
        <f>Master!B63</f>
        <v>dLocal TPV as % EM X-border Pay-in</v>
      </c>
      <c r="E123" s="3">
        <f>Master!E63</f>
        <v>1.3433333333333334E-2</v>
      </c>
      <c r="F123" s="3">
        <f>Master!F63</f>
        <v>3.3320424305476035E-2</v>
      </c>
      <c r="G123" s="3">
        <f>Master!G63</f>
        <v>4.8098666427057811E-2</v>
      </c>
      <c r="H123" s="3">
        <f>Master!H63</f>
        <v>5.9622479853977908E-2</v>
      </c>
      <c r="I123" s="3">
        <f>Master!I63</f>
        <v>6.8463538699205476E-2</v>
      </c>
      <c r="J123" s="3">
        <f>Master!J63</f>
        <v>7.5032857755410937E-2</v>
      </c>
      <c r="K123" s="3">
        <f>Master!K63</f>
        <v>7.7693094037548135E-2</v>
      </c>
      <c r="L123" s="3">
        <f>Master!L63</f>
        <v>7.9494748691234643E-2</v>
      </c>
      <c r="M123" s="3">
        <f>Master!M63</f>
        <v>7.7066609245801068E-2</v>
      </c>
      <c r="N123" s="3">
        <f>Master!N63</f>
        <v>7.3797144543302481E-2</v>
      </c>
      <c r="O123" s="3">
        <f>Master!O63</f>
        <v>7.0437346913251042E-2</v>
      </c>
    </row>
    <row r="124" spans="2:15" x14ac:dyDescent="0.55000000000000004">
      <c r="B124" t="str">
        <f>Master!B64</f>
        <v>dLocal LatAm TPV as % LatAm Pay-in</v>
      </c>
      <c r="E124" s="3">
        <f>Master!E64</f>
        <v>5.1325471698113207E-3</v>
      </c>
      <c r="F124" s="3">
        <f>Master!F64</f>
        <v>1.3516834109286936E-2</v>
      </c>
      <c r="G124" s="3">
        <f>Master!G64</f>
        <v>2.0718029350104819E-2</v>
      </c>
      <c r="H124" s="3">
        <f>Master!H64</f>
        <v>2.7276609561724851E-2</v>
      </c>
      <c r="I124" s="3">
        <f>Master!I64</f>
        <v>3.3281245691247421E-2</v>
      </c>
      <c r="J124" s="3">
        <f>Master!J64</f>
        <v>3.8782108235864331E-2</v>
      </c>
      <c r="K124" s="3">
        <f>Master!K64</f>
        <v>4.2733867006896339E-2</v>
      </c>
      <c r="L124" s="3">
        <f>Master!L64</f>
        <v>4.6580672947739661E-2</v>
      </c>
      <c r="M124" s="3">
        <f>Master!M64</f>
        <v>4.8170993039526384E-2</v>
      </c>
      <c r="N124" s="3">
        <f>Master!N64</f>
        <v>4.9283777753954615E-2</v>
      </c>
      <c r="O124" s="3">
        <f>Master!O64</f>
        <v>5.035458133630738E-2</v>
      </c>
    </row>
    <row r="125" spans="2:15" x14ac:dyDescent="0.55000000000000004">
      <c r="B125" t="str">
        <f>Master!B65</f>
        <v>dLocal LatAm TPV as % LatAm X-Border Pay-in</v>
      </c>
      <c r="E125" s="3">
        <f>Master!E65</f>
        <v>2.6631818181818184E-2</v>
      </c>
      <c r="F125" s="3">
        <f>Master!F65</f>
        <v>6.5214395180005394E-2</v>
      </c>
      <c r="G125" s="3">
        <f>Master!G65</f>
        <v>9.2934389467592554E-2</v>
      </c>
      <c r="H125" s="3">
        <f>Master!H65</f>
        <v>0.11372406440933108</v>
      </c>
      <c r="I125" s="3">
        <f>Master!I65</f>
        <v>0.12890908806110446</v>
      </c>
      <c r="J125" s="3">
        <f>Master!J65</f>
        <v>0.13945542755020238</v>
      </c>
      <c r="K125" s="3">
        <f>Master!K65</f>
        <v>0.14252771433078121</v>
      </c>
      <c r="L125" s="3">
        <f>Master!L65</f>
        <v>0.14393195166805725</v>
      </c>
      <c r="M125" s="3">
        <f>Master!M65</f>
        <v>0.1377056435326266</v>
      </c>
      <c r="N125" s="3">
        <f>Master!N65</f>
        <v>0.13012261195131691</v>
      </c>
      <c r="O125" s="3">
        <f>Master!O65</f>
        <v>0.122546608660299</v>
      </c>
    </row>
    <row r="127" spans="2:15" x14ac:dyDescent="0.55000000000000004">
      <c r="B127" t="s">
        <v>268</v>
      </c>
      <c r="E127" s="3">
        <f>Master!E75</f>
        <v>0.12228571428571429</v>
      </c>
      <c r="F127" s="3">
        <f>Master!F75</f>
        <v>0.21065934065934067</v>
      </c>
      <c r="G127" s="3">
        <f>Master!G75</f>
        <v>0.21660561660561661</v>
      </c>
      <c r="H127" s="3">
        <f>Master!H75</f>
        <v>0.29454770195510938</v>
      </c>
      <c r="I127" s="3">
        <f>Master!I75</f>
        <v>0.32517253212361535</v>
      </c>
      <c r="J127" s="3">
        <f>Master!J75</f>
        <v>0.35242190562202258</v>
      </c>
      <c r="K127" s="3">
        <f>Master!K75</f>
        <v>0.37247668161520869</v>
      </c>
      <c r="L127" s="3">
        <f>Master!L75</f>
        <v>0.38668458594137789</v>
      </c>
      <c r="M127" s="3">
        <f>Master!M75</f>
        <v>0.37856879588046499</v>
      </c>
      <c r="N127" s="3">
        <f>Master!N75</f>
        <v>0.36476832384834468</v>
      </c>
      <c r="O127" s="3">
        <f>Master!O75</f>
        <v>0.34941744892666349</v>
      </c>
    </row>
    <row r="128" spans="2:15" x14ac:dyDescent="0.55000000000000004">
      <c r="B128" t="s">
        <v>269</v>
      </c>
      <c r="E128" s="3">
        <f>Master!E76</f>
        <v>9.4643734643734643E-4</v>
      </c>
      <c r="F128" s="3">
        <f>Master!F76</f>
        <v>1.6122944622944623E-3</v>
      </c>
      <c r="G128" s="3">
        <f>Master!G76</f>
        <v>1.6391776391776391E-3</v>
      </c>
      <c r="H128" s="3">
        <f>Master!H76</f>
        <v>2.2036799814577593E-3</v>
      </c>
      <c r="I128" s="3">
        <f>Master!I76</f>
        <v>2.4048386282360746E-3</v>
      </c>
      <c r="J128" s="3">
        <f>Master!J76</f>
        <v>2.5760569268440223E-3</v>
      </c>
      <c r="K128" s="3">
        <f>Master!K76</f>
        <v>2.6906177983997879E-3</v>
      </c>
      <c r="L128" s="3">
        <f>Master!L76</f>
        <v>2.7599968603432504E-3</v>
      </c>
      <c r="M128" s="3">
        <f>Master!M76</f>
        <v>2.6695146048573335E-3</v>
      </c>
      <c r="N128" s="3">
        <f>Master!N76</f>
        <v>2.540830953587364E-3</v>
      </c>
      <c r="O128" s="3">
        <f>Master!O76</f>
        <v>2.4038546854905597E-3</v>
      </c>
    </row>
    <row r="149" spans="2:15" x14ac:dyDescent="0.55000000000000004">
      <c r="B149" s="1"/>
      <c r="C149" s="1"/>
      <c r="D149" s="1"/>
      <c r="E149" s="1">
        <f>E117</f>
        <v>2020</v>
      </c>
      <c r="F149" s="1">
        <f t="shared" ref="F149:O149" si="3">F117</f>
        <v>2021</v>
      </c>
      <c r="G149" s="1">
        <f t="shared" si="3"/>
        <v>2022</v>
      </c>
      <c r="H149" s="1">
        <f t="shared" si="3"/>
        <v>2023</v>
      </c>
      <c r="I149" s="1">
        <f t="shared" si="3"/>
        <v>2024</v>
      </c>
      <c r="J149" s="1">
        <f t="shared" si="3"/>
        <v>2025</v>
      </c>
      <c r="K149" s="1">
        <f t="shared" si="3"/>
        <v>2026</v>
      </c>
      <c r="L149" s="1">
        <f t="shared" si="3"/>
        <v>2027</v>
      </c>
      <c r="M149" s="1">
        <f t="shared" si="3"/>
        <v>2028</v>
      </c>
      <c r="N149" s="1">
        <f t="shared" si="3"/>
        <v>2029</v>
      </c>
      <c r="O149" s="1">
        <f t="shared" si="3"/>
        <v>2030</v>
      </c>
    </row>
    <row r="150" spans="2:15" x14ac:dyDescent="0.55000000000000004">
      <c r="B150" t="s">
        <v>270</v>
      </c>
      <c r="E150" s="2">
        <f>Master!E79</f>
        <v>0.06</v>
      </c>
      <c r="F150" s="2">
        <f>Master!F79</f>
        <v>0.10171120366298471</v>
      </c>
      <c r="G150" s="2">
        <f>Master!G79</f>
        <v>0.12511690630908331</v>
      </c>
      <c r="H150" s="2">
        <f>Master!H79</f>
        <v>0.15613886640249994</v>
      </c>
      <c r="I150" s="2">
        <f>Master!I79</f>
        <v>0.1901455099244827</v>
      </c>
      <c r="J150" s="2">
        <f>Master!J79</f>
        <v>0.21807652167694425</v>
      </c>
      <c r="K150" s="2">
        <f>Master!K79</f>
        <v>0.24447794022358191</v>
      </c>
      <c r="L150" s="2">
        <f>Master!L79</f>
        <v>0.27486586801297197</v>
      </c>
      <c r="M150" s="2">
        <f>Master!M79</f>
        <v>0.3041972353228245</v>
      </c>
      <c r="N150" s="2">
        <f>Master!N79</f>
        <v>0.33105927586179457</v>
      </c>
      <c r="O150" s="2">
        <f>Master!O79</f>
        <v>0.3534845499962716</v>
      </c>
    </row>
    <row r="169" spans="2:3" x14ac:dyDescent="0.55000000000000004">
      <c r="B169" s="10" t="s">
        <v>277</v>
      </c>
    </row>
    <row r="171" spans="2:3" x14ac:dyDescent="0.55000000000000004">
      <c r="B171" t="s">
        <v>273</v>
      </c>
      <c r="C171" s="3">
        <f>Quarts!K150</f>
        <v>2.6233934550167405E-2</v>
      </c>
    </row>
    <row r="172" spans="2:3" x14ac:dyDescent="0.55000000000000004">
      <c r="B172" t="s">
        <v>274</v>
      </c>
      <c r="C172" s="3">
        <v>2.41E-2</v>
      </c>
    </row>
    <row r="173" spans="2:3" x14ac:dyDescent="0.55000000000000004">
      <c r="B173" t="s">
        <v>275</v>
      </c>
      <c r="C173" s="3">
        <v>1.8499999999999999E-2</v>
      </c>
    </row>
    <row r="174" spans="2:3" x14ac:dyDescent="0.55000000000000004">
      <c r="B174" t="s">
        <v>276</v>
      </c>
      <c r="C174" s="3">
        <v>7.3000000000000001E-3</v>
      </c>
    </row>
    <row r="175" spans="2:3" x14ac:dyDescent="0.55000000000000004">
      <c r="B175" t="s">
        <v>390</v>
      </c>
      <c r="C175" s="3">
        <v>2.2000000000000001E-3</v>
      </c>
    </row>
    <row r="177" spans="2:6" x14ac:dyDescent="0.55000000000000004">
      <c r="B177" s="1" t="s">
        <v>277</v>
      </c>
      <c r="C177" s="5" t="s">
        <v>52</v>
      </c>
      <c r="D177" s="5" t="s">
        <v>53</v>
      </c>
      <c r="F177" s="54" t="s">
        <v>284</v>
      </c>
    </row>
    <row r="178" spans="2:6" x14ac:dyDescent="0.55000000000000004">
      <c r="B178" t="s">
        <v>279</v>
      </c>
      <c r="C178" s="3">
        <v>0.05</v>
      </c>
      <c r="D178" s="3">
        <v>2.8000000000000001E-2</v>
      </c>
      <c r="F178" s="2">
        <f>C185*C188</f>
        <v>0.315</v>
      </c>
    </row>
    <row r="179" spans="2:6" x14ac:dyDescent="0.55000000000000004">
      <c r="B179" t="s">
        <v>280</v>
      </c>
      <c r="C179" s="3">
        <v>3.3000000000000002E-2</v>
      </c>
      <c r="D179" s="3">
        <v>2.8000000000000001E-2</v>
      </c>
      <c r="F179" s="2">
        <f>C186*C188</f>
        <v>0.13500000000000001</v>
      </c>
    </row>
    <row r="180" spans="2:6" x14ac:dyDescent="0.55000000000000004">
      <c r="B180" t="s">
        <v>281</v>
      </c>
      <c r="C180" s="3">
        <v>4.3999999999999997E-2</v>
      </c>
      <c r="D180" s="3">
        <v>2.4E-2</v>
      </c>
      <c r="F180" s="2">
        <f>C185*C189</f>
        <v>0.38500000000000001</v>
      </c>
    </row>
    <row r="181" spans="2:6" x14ac:dyDescent="0.55000000000000004">
      <c r="B181" s="14" t="s">
        <v>282</v>
      </c>
      <c r="C181" s="41">
        <v>2.8000000000000001E-2</v>
      </c>
      <c r="D181" s="41">
        <v>2.4E-2</v>
      </c>
      <c r="F181" s="44">
        <f>C186*C189</f>
        <v>0.16500000000000001</v>
      </c>
    </row>
    <row r="182" spans="2:6" x14ac:dyDescent="0.55000000000000004">
      <c r="B182" t="s">
        <v>278</v>
      </c>
      <c r="C182" s="3">
        <f>Quarts!K46</f>
        <v>4.3477697375526515E-2</v>
      </c>
      <c r="D182" s="3">
        <f>Quarts!K150</f>
        <v>2.6233934550167405E-2</v>
      </c>
      <c r="F182" s="2">
        <f>SUM(F178:F181)</f>
        <v>1</v>
      </c>
    </row>
    <row r="183" spans="2:6" x14ac:dyDescent="0.55000000000000004">
      <c r="B183" t="s">
        <v>143</v>
      </c>
      <c r="C183" s="3">
        <f>(C178*F178)+(C179*F179)+(C180*F180)+(C181*F181)</f>
        <v>4.1764999999999997E-2</v>
      </c>
      <c r="D183" s="3">
        <f>(D178*F178)+(D179*F179)+(D180*F180)+(D181*F181)</f>
        <v>2.5799999999999997E-2</v>
      </c>
    </row>
    <row r="185" spans="2:6" x14ac:dyDescent="0.55000000000000004">
      <c r="B185" t="s">
        <v>61</v>
      </c>
      <c r="C185" s="2">
        <v>0.7</v>
      </c>
    </row>
    <row r="186" spans="2:6" x14ac:dyDescent="0.55000000000000004">
      <c r="B186" t="s">
        <v>283</v>
      </c>
      <c r="C186" s="2">
        <v>0.3</v>
      </c>
    </row>
    <row r="188" spans="2:6" x14ac:dyDescent="0.55000000000000004">
      <c r="B188" t="s">
        <v>51</v>
      </c>
      <c r="C188" s="2">
        <v>0.45</v>
      </c>
    </row>
    <row r="189" spans="2:6" x14ac:dyDescent="0.55000000000000004">
      <c r="B189" t="s">
        <v>18</v>
      </c>
      <c r="C189" s="2">
        <v>0.55000000000000004</v>
      </c>
    </row>
    <row r="193" spans="2:15" x14ac:dyDescent="0.55000000000000004">
      <c r="B193" s="1" t="s">
        <v>263</v>
      </c>
      <c r="C193" s="1"/>
      <c r="D193" s="1">
        <v>2019</v>
      </c>
      <c r="E193" s="1">
        <f>D193+1</f>
        <v>2020</v>
      </c>
      <c r="F193" s="1">
        <f t="shared" ref="F193:O193" si="4">E193+1</f>
        <v>2021</v>
      </c>
      <c r="G193" s="1">
        <f t="shared" si="4"/>
        <v>2022</v>
      </c>
      <c r="H193" s="1">
        <f>G193+1</f>
        <v>2023</v>
      </c>
      <c r="I193" s="1">
        <f t="shared" si="4"/>
        <v>2024</v>
      </c>
      <c r="J193" s="1">
        <f t="shared" si="4"/>
        <v>2025</v>
      </c>
      <c r="K193" s="1">
        <f t="shared" si="4"/>
        <v>2026</v>
      </c>
      <c r="L193" s="1">
        <f t="shared" si="4"/>
        <v>2027</v>
      </c>
      <c r="M193" s="1">
        <f t="shared" si="4"/>
        <v>2028</v>
      </c>
      <c r="N193" s="1">
        <f t="shared" si="4"/>
        <v>2029</v>
      </c>
      <c r="O193" s="1">
        <f t="shared" si="4"/>
        <v>2030</v>
      </c>
    </row>
    <row r="194" spans="2:15" x14ac:dyDescent="0.55000000000000004">
      <c r="B194" t="s">
        <v>254</v>
      </c>
      <c r="D194" s="3">
        <f>Master!D91</f>
        <v>4.2735042735042736E-2</v>
      </c>
      <c r="E194" s="3">
        <f>Master!E91</f>
        <v>5.0387596899224806E-2</v>
      </c>
      <c r="F194" s="3">
        <f>Master!F91</f>
        <v>4.035377748388163E-2</v>
      </c>
      <c r="G194" s="3">
        <f>Master!G91</f>
        <v>3.9642282577836661E-2</v>
      </c>
      <c r="H194" s="3">
        <f>Master!H91</f>
        <v>3.679357357017593E-2</v>
      </c>
      <c r="I194" s="3">
        <f>Master!I91</f>
        <v>3.0715900215466614E-2</v>
      </c>
      <c r="J194" s="3">
        <f>Master!J91</f>
        <v>2.7891247714345532E-2</v>
      </c>
      <c r="K194" s="3">
        <f>Master!K91</f>
        <v>2.70272702986314E-2</v>
      </c>
      <c r="L194" s="3">
        <f>Master!L91</f>
        <v>2.5945889463882196E-2</v>
      </c>
      <c r="M194" s="3">
        <f>Master!M91</f>
        <v>2.5168882638464812E-2</v>
      </c>
      <c r="N194" s="3">
        <f>Master!N91</f>
        <v>2.4188868392877039E-2</v>
      </c>
      <c r="O194" s="3">
        <f>Master!O91</f>
        <v>2.3475550027889487E-2</v>
      </c>
    </row>
    <row r="195" spans="2:15" x14ac:dyDescent="0.55000000000000004">
      <c r="B195" t="s">
        <v>285</v>
      </c>
      <c r="D195" s="3">
        <f>Master!D92</f>
        <v>2.8480186480186478E-2</v>
      </c>
      <c r="E195" s="3">
        <f>Master!E92</f>
        <v>3.0205910852713177E-2</v>
      </c>
      <c r="F195" s="3">
        <f>Master!F92</f>
        <v>2.2619275913374114E-2</v>
      </c>
      <c r="G195" s="3">
        <f>Master!G92</f>
        <v>2.0126525977098512E-2</v>
      </c>
      <c r="H195" s="3">
        <f>Master!H92</f>
        <v>1.6687107540872319E-2</v>
      </c>
      <c r="I195" s="3">
        <f>Master!I92</f>
        <v>1.362824444769075E-2</v>
      </c>
      <c r="J195" s="3">
        <f>Master!J92</f>
        <v>1.2649607116055065E-2</v>
      </c>
      <c r="K195" s="3">
        <f>Master!K92</f>
        <v>1.2257764665051801E-2</v>
      </c>
      <c r="L195" s="3">
        <f>Master!L92</f>
        <v>1.1767322543476387E-2</v>
      </c>
      <c r="M195" s="3">
        <f>Master!M92</f>
        <v>1.1414924143494884E-2</v>
      </c>
      <c r="N195" s="3">
        <f>Master!N92</f>
        <v>1.0970455136522266E-2</v>
      </c>
      <c r="O195" s="3">
        <f>Master!O92</f>
        <v>1.0646941568460615E-2</v>
      </c>
    </row>
    <row r="215" spans="2:3" x14ac:dyDescent="0.55000000000000004">
      <c r="B215" s="1" t="s">
        <v>2</v>
      </c>
      <c r="C215" s="1">
        <v>2021</v>
      </c>
    </row>
    <row r="216" spans="2:3" x14ac:dyDescent="0.55000000000000004">
      <c r="B216" s="58" t="s">
        <v>92</v>
      </c>
      <c r="C216" s="59">
        <f>Master!F43*1000</f>
        <v>6049</v>
      </c>
    </row>
    <row r="217" spans="2:3" x14ac:dyDescent="0.55000000000000004">
      <c r="B217" s="6" t="s">
        <v>294</v>
      </c>
      <c r="C217" s="13">
        <f>Master!F48*1000</f>
        <v>4132.0000000000009</v>
      </c>
    </row>
    <row r="218" spans="2:3" x14ac:dyDescent="0.55000000000000004">
      <c r="B218" s="58"/>
      <c r="C218" s="58"/>
    </row>
    <row r="219" spans="2:3" x14ac:dyDescent="0.55000000000000004">
      <c r="B219" t="s">
        <v>288</v>
      </c>
      <c r="C219" s="2">
        <v>0.33</v>
      </c>
    </row>
    <row r="220" spans="2:3" x14ac:dyDescent="0.55000000000000004">
      <c r="B220" s="58" t="s">
        <v>289</v>
      </c>
      <c r="C220" s="59">
        <f>C219*C217</f>
        <v>1363.5600000000004</v>
      </c>
    </row>
    <row r="221" spans="2:3" x14ac:dyDescent="0.55000000000000004">
      <c r="B221" t="s">
        <v>290</v>
      </c>
      <c r="C221" s="2">
        <v>0.01</v>
      </c>
    </row>
    <row r="222" spans="2:3" x14ac:dyDescent="0.55000000000000004">
      <c r="B222" s="58" t="s">
        <v>291</v>
      </c>
      <c r="C222" s="58">
        <v>4</v>
      </c>
    </row>
    <row r="223" spans="2:3" x14ac:dyDescent="0.55000000000000004">
      <c r="B223" t="s">
        <v>292</v>
      </c>
      <c r="C223" s="9">
        <f>C220*C221*C222</f>
        <v>54.542400000000015</v>
      </c>
    </row>
    <row r="224" spans="2:3" x14ac:dyDescent="0.55000000000000004">
      <c r="B224" s="60" t="s">
        <v>293</v>
      </c>
      <c r="C224" s="61">
        <f>C223/Master!F98</f>
        <v>0.2234428512904548</v>
      </c>
    </row>
    <row r="227" spans="2:9" x14ac:dyDescent="0.55000000000000004">
      <c r="C227" s="37" t="s">
        <v>303</v>
      </c>
      <c r="D227" s="37" t="s">
        <v>328</v>
      </c>
      <c r="E227" s="37" t="s">
        <v>304</v>
      </c>
      <c r="F227" s="37" t="s">
        <v>304</v>
      </c>
      <c r="G227" s="37" t="s">
        <v>336</v>
      </c>
      <c r="H227" s="37" t="s">
        <v>331</v>
      </c>
      <c r="I227" s="37" t="s">
        <v>303</v>
      </c>
    </row>
    <row r="228" spans="2:9" x14ac:dyDescent="0.55000000000000004">
      <c r="B228" s="14"/>
      <c r="C228" s="43" t="s">
        <v>273</v>
      </c>
      <c r="D228" s="43" t="s">
        <v>390</v>
      </c>
      <c r="E228" s="43" t="s">
        <v>274</v>
      </c>
      <c r="F228" s="43" t="s">
        <v>297</v>
      </c>
      <c r="G228" s="43" t="s">
        <v>335</v>
      </c>
      <c r="H228" s="43" t="s">
        <v>332</v>
      </c>
      <c r="I228" s="43" t="s">
        <v>329</v>
      </c>
    </row>
    <row r="229" spans="2:9" x14ac:dyDescent="0.55000000000000004">
      <c r="B229" t="s">
        <v>130</v>
      </c>
      <c r="C229" s="9">
        <f>Master!E98</f>
        <v>104</v>
      </c>
      <c r="E229" s="37"/>
      <c r="F229" s="37"/>
      <c r="G229" s="26">
        <v>375</v>
      </c>
      <c r="H229" s="26">
        <v>421</v>
      </c>
      <c r="I229" s="9">
        <f>Master!I98</f>
        <v>794.83371482889743</v>
      </c>
    </row>
    <row r="230" spans="2:9" x14ac:dyDescent="0.55000000000000004">
      <c r="B230" t="s">
        <v>104</v>
      </c>
      <c r="C230" s="62">
        <f>C229-C232</f>
        <v>41.655000000000001</v>
      </c>
      <c r="E230" s="37"/>
      <c r="F230" s="37"/>
      <c r="I230" s="62">
        <f>I229-I232</f>
        <v>442.17635870492097</v>
      </c>
    </row>
    <row r="231" spans="2:9" x14ac:dyDescent="0.55000000000000004">
      <c r="B231" t="s">
        <v>57</v>
      </c>
      <c r="C231" s="63">
        <f>C230/C229</f>
        <v>0.40052884615384615</v>
      </c>
      <c r="E231" s="63"/>
      <c r="F231" s="63"/>
      <c r="I231" s="63">
        <f>I230/I229</f>
        <v>0.55631303813038124</v>
      </c>
    </row>
    <row r="232" spans="2:9" x14ac:dyDescent="0.55000000000000004">
      <c r="B232" t="s">
        <v>117</v>
      </c>
      <c r="C232" s="9">
        <f>Master!E191</f>
        <v>62.344999999999999</v>
      </c>
      <c r="D232" s="26">
        <v>684.2</v>
      </c>
      <c r="E232" s="26">
        <v>4041.3000000000006</v>
      </c>
      <c r="F232" s="26">
        <v>3319.7999999999997</v>
      </c>
      <c r="G232" s="26">
        <f>G229-64</f>
        <v>311</v>
      </c>
      <c r="H232" s="26">
        <f>H229-117.8</f>
        <v>303.2</v>
      </c>
      <c r="I232" s="9">
        <f>Master!I191</f>
        <v>352.65735612397646</v>
      </c>
    </row>
    <row r="234" spans="2:9" x14ac:dyDescent="0.55000000000000004">
      <c r="B234" t="s">
        <v>298</v>
      </c>
      <c r="C234" s="9">
        <f t="shared" ref="C234:I234" si="5">C232-C237</f>
        <v>20.414000000000001</v>
      </c>
      <c r="D234" s="9">
        <f t="shared" si="5"/>
        <v>281.70000000000005</v>
      </c>
      <c r="E234" s="9">
        <f t="shared" si="5"/>
        <v>1890.1</v>
      </c>
      <c r="F234" s="9">
        <f t="shared" si="5"/>
        <v>1928.8999999999999</v>
      </c>
      <c r="G234" s="9">
        <f t="shared" si="5"/>
        <v>148</v>
      </c>
      <c r="H234" s="9">
        <f t="shared" si="5"/>
        <v>194.5</v>
      </c>
      <c r="I234" s="9">
        <f t="shared" si="5"/>
        <v>157.0384997291095</v>
      </c>
    </row>
    <row r="235" spans="2:9" x14ac:dyDescent="0.55000000000000004">
      <c r="B235" t="s">
        <v>299</v>
      </c>
      <c r="C235" s="2">
        <f t="shared" ref="C235:I235" si="6">C234/C232</f>
        <v>0.32743604138262894</v>
      </c>
      <c r="D235" s="2">
        <f t="shared" si="6"/>
        <v>0.41172171879567382</v>
      </c>
      <c r="E235" s="2">
        <f t="shared" si="6"/>
        <v>0.46769603840348395</v>
      </c>
      <c r="F235" s="2">
        <f t="shared" si="6"/>
        <v>0.58102897764925598</v>
      </c>
      <c r="G235" s="2">
        <f t="shared" si="6"/>
        <v>0.47588424437299037</v>
      </c>
      <c r="H235" s="2">
        <f t="shared" si="6"/>
        <v>0.64149076517150394</v>
      </c>
      <c r="I235" s="2">
        <f t="shared" si="6"/>
        <v>0.44530050770840218</v>
      </c>
    </row>
    <row r="236" spans="2:9" x14ac:dyDescent="0.55000000000000004">
      <c r="C236" s="9"/>
      <c r="I236" s="9"/>
    </row>
    <row r="237" spans="2:9" x14ac:dyDescent="0.55000000000000004">
      <c r="B237" t="s">
        <v>3</v>
      </c>
      <c r="C237" s="9">
        <f>Master!E223</f>
        <v>41.930999999999997</v>
      </c>
      <c r="D237" s="26">
        <v>402.5</v>
      </c>
      <c r="E237" s="26">
        <v>2151.2000000000007</v>
      </c>
      <c r="F237" s="26">
        <v>1390.8999999999999</v>
      </c>
      <c r="G237" s="26">
        <v>163</v>
      </c>
      <c r="H237" s="26">
        <v>108.7</v>
      </c>
      <c r="I237" s="9">
        <f>Master!I223</f>
        <v>195.61885639486695</v>
      </c>
    </row>
    <row r="238" spans="2:9" x14ac:dyDescent="0.55000000000000004">
      <c r="B238" t="s">
        <v>302</v>
      </c>
      <c r="C238" s="2">
        <f t="shared" ref="C238:I238" si="7">C237/C232</f>
        <v>0.67256395861737106</v>
      </c>
      <c r="D238" s="2">
        <f t="shared" si="7"/>
        <v>0.58827828120432624</v>
      </c>
      <c r="E238" s="2">
        <f t="shared" si="7"/>
        <v>0.53230396159651605</v>
      </c>
      <c r="F238" s="2">
        <f t="shared" si="7"/>
        <v>0.41897102235074402</v>
      </c>
      <c r="G238" s="2">
        <f t="shared" si="7"/>
        <v>0.52411575562700963</v>
      </c>
      <c r="H238" s="2">
        <f t="shared" si="7"/>
        <v>0.35850923482849606</v>
      </c>
      <c r="I238" s="2">
        <f t="shared" si="7"/>
        <v>0.55469949229159787</v>
      </c>
    </row>
    <row r="240" spans="2:9" x14ac:dyDescent="0.55000000000000004">
      <c r="B240" t="s">
        <v>108</v>
      </c>
      <c r="C240" s="9">
        <f>Master!E215</f>
        <v>0.99199999999999999</v>
      </c>
      <c r="D240" s="26">
        <v>28.6</v>
      </c>
      <c r="E240" s="26">
        <v>376.3</v>
      </c>
      <c r="F240" s="26">
        <v>256.3</v>
      </c>
      <c r="G240" s="26">
        <v>69.7</v>
      </c>
      <c r="H240" s="26">
        <v>21.7</v>
      </c>
      <c r="I240" s="9">
        <f>Master!I215</f>
        <v>14.379437511406847</v>
      </c>
    </row>
    <row r="241" spans="2:9" x14ac:dyDescent="0.55000000000000004">
      <c r="B241" t="s">
        <v>57</v>
      </c>
      <c r="C241" s="2">
        <f t="shared" ref="C241:I241" si="8">C240/C232</f>
        <v>1.5911460421846178E-2</v>
      </c>
      <c r="D241" s="2">
        <f t="shared" si="8"/>
        <v>4.1800643086816719E-2</v>
      </c>
      <c r="E241" s="2">
        <f t="shared" si="8"/>
        <v>9.3113602058743458E-2</v>
      </c>
      <c r="F241" s="2">
        <f t="shared" si="8"/>
        <v>7.7203445990722347E-2</v>
      </c>
      <c r="G241" s="2">
        <f t="shared" si="8"/>
        <v>0.22411575562700967</v>
      </c>
      <c r="H241" s="2">
        <f t="shared" si="8"/>
        <v>7.1569920844327173E-2</v>
      </c>
      <c r="I241" s="2">
        <f t="shared" si="8"/>
        <v>4.0774528764832473E-2</v>
      </c>
    </row>
    <row r="243" spans="2:9" x14ac:dyDescent="0.55000000000000004">
      <c r="B243" t="s">
        <v>63</v>
      </c>
      <c r="G243" s="9">
        <v>29</v>
      </c>
      <c r="H243" s="9">
        <f>38.1+4</f>
        <v>42.1</v>
      </c>
    </row>
    <row r="244" spans="2:9" x14ac:dyDescent="0.55000000000000004">
      <c r="G244" s="9"/>
      <c r="H244" s="9"/>
    </row>
    <row r="245" spans="2:9" x14ac:dyDescent="0.55000000000000004">
      <c r="B245" t="s">
        <v>334</v>
      </c>
      <c r="C245" s="9">
        <f t="shared" ref="C245:I245" si="9">C237-C240</f>
        <v>40.939</v>
      </c>
      <c r="D245" s="9">
        <f t="shared" si="9"/>
        <v>373.9</v>
      </c>
      <c r="E245" s="9">
        <f t="shared" si="9"/>
        <v>1774.9000000000008</v>
      </c>
      <c r="F245" s="9">
        <f t="shared" si="9"/>
        <v>1134.5999999999999</v>
      </c>
      <c r="G245" s="9">
        <f t="shared" si="9"/>
        <v>93.3</v>
      </c>
      <c r="H245" s="9">
        <f t="shared" si="9"/>
        <v>87</v>
      </c>
      <c r="I245" s="9">
        <f t="shared" si="9"/>
        <v>181.2394188834601</v>
      </c>
    </row>
    <row r="246" spans="2:9" x14ac:dyDescent="0.55000000000000004">
      <c r="B246" t="s">
        <v>300</v>
      </c>
      <c r="C246" s="4">
        <f>Master!E227</f>
        <v>-0.47299999999999998</v>
      </c>
      <c r="D246" s="17">
        <f>-1+10</f>
        <v>9</v>
      </c>
      <c r="E246" s="17">
        <v>0</v>
      </c>
      <c r="F246" s="17">
        <v>0</v>
      </c>
      <c r="G246" s="17">
        <f>42-5</f>
        <v>37</v>
      </c>
      <c r="H246" s="17">
        <v>3.8</v>
      </c>
      <c r="I246" s="4">
        <f>Master!I227</f>
        <v>5</v>
      </c>
    </row>
    <row r="247" spans="2:9" x14ac:dyDescent="0.55000000000000004">
      <c r="B247" t="s">
        <v>57</v>
      </c>
      <c r="C247" s="2">
        <f t="shared" ref="C247:I247" si="10">C246/C232</f>
        <v>-7.5868153019488325E-3</v>
      </c>
      <c r="D247" s="2">
        <f t="shared" si="10"/>
        <v>1.3154048523823443E-2</v>
      </c>
      <c r="E247" s="2">
        <f t="shared" si="10"/>
        <v>0</v>
      </c>
      <c r="F247" s="2">
        <f t="shared" si="10"/>
        <v>0</v>
      </c>
      <c r="G247" s="2">
        <f t="shared" si="10"/>
        <v>0.11897106109324759</v>
      </c>
      <c r="H247" s="2">
        <f t="shared" si="10"/>
        <v>1.2532981530343008E-2</v>
      </c>
      <c r="I247" s="2">
        <f t="shared" si="10"/>
        <v>1.4178068068548252E-2</v>
      </c>
    </row>
    <row r="249" spans="2:9" x14ac:dyDescent="0.55000000000000004">
      <c r="B249" t="s">
        <v>305</v>
      </c>
      <c r="C249">
        <v>0</v>
      </c>
      <c r="D249" s="17">
        <v>0</v>
      </c>
      <c r="E249" s="17">
        <v>0</v>
      </c>
      <c r="F249" s="17">
        <v>-6.9</v>
      </c>
      <c r="G249" s="17">
        <v>0</v>
      </c>
      <c r="H249" s="17">
        <v>0</v>
      </c>
      <c r="I249">
        <v>0</v>
      </c>
    </row>
    <row r="250" spans="2:9" x14ac:dyDescent="0.55000000000000004">
      <c r="B250" t="s">
        <v>57</v>
      </c>
      <c r="C250" s="2">
        <f t="shared" ref="C250:I250" si="11">C249/C232</f>
        <v>0</v>
      </c>
      <c r="D250" s="2">
        <f t="shared" si="11"/>
        <v>0</v>
      </c>
      <c r="E250" s="2">
        <f t="shared" si="11"/>
        <v>0</v>
      </c>
      <c r="F250" s="2">
        <f t="shared" si="11"/>
        <v>-2.0784384601482018E-3</v>
      </c>
      <c r="G250" s="2">
        <f t="shared" si="11"/>
        <v>0</v>
      </c>
      <c r="H250" s="2">
        <f t="shared" si="11"/>
        <v>0</v>
      </c>
      <c r="I250" s="2">
        <f t="shared" si="11"/>
        <v>0</v>
      </c>
    </row>
    <row r="251" spans="2:9" x14ac:dyDescent="0.55000000000000004">
      <c r="B251" t="s">
        <v>109</v>
      </c>
      <c r="C251" s="9">
        <f t="shared" ref="C251:I251" si="12">C245-C246+C249</f>
        <v>41.411999999999999</v>
      </c>
      <c r="D251" s="9">
        <f t="shared" si="12"/>
        <v>364.9</v>
      </c>
      <c r="E251" s="9">
        <f t="shared" si="12"/>
        <v>1774.9000000000008</v>
      </c>
      <c r="F251" s="9">
        <f t="shared" si="12"/>
        <v>1127.6999999999998</v>
      </c>
      <c r="G251" s="9">
        <f t="shared" si="12"/>
        <v>56.3</v>
      </c>
      <c r="H251" s="9">
        <f t="shared" si="12"/>
        <v>83.2</v>
      </c>
      <c r="I251" s="9">
        <f t="shared" si="12"/>
        <v>176.2394188834601</v>
      </c>
    </row>
    <row r="253" spans="2:9" x14ac:dyDescent="0.55000000000000004">
      <c r="B253" t="s">
        <v>111</v>
      </c>
      <c r="C253" s="4">
        <f>Master!E231</f>
        <v>3.2309999999999999</v>
      </c>
      <c r="D253" s="17">
        <v>62.2</v>
      </c>
      <c r="E253" s="17">
        <v>482.4</v>
      </c>
      <c r="F253" s="17">
        <v>290.2</v>
      </c>
      <c r="G253" s="17">
        <v>3.09</v>
      </c>
      <c r="H253" s="17">
        <v>10.199999999999999</v>
      </c>
      <c r="I253" s="4">
        <f>Master!I231</f>
        <v>32.647883776692019</v>
      </c>
    </row>
    <row r="254" spans="2:9" x14ac:dyDescent="0.55000000000000004">
      <c r="B254" t="s">
        <v>57</v>
      </c>
      <c r="C254" s="2">
        <f t="shared" ref="C254:I254" si="13">C253/C232</f>
        <v>5.1824524821557465E-2</v>
      </c>
      <c r="D254" s="2">
        <f t="shared" si="13"/>
        <v>9.0909090909090912E-2</v>
      </c>
      <c r="E254" s="2">
        <f t="shared" si="13"/>
        <v>0.119367530250167</v>
      </c>
      <c r="F254" s="2">
        <f t="shared" si="13"/>
        <v>8.7414904512320021E-2</v>
      </c>
      <c r="G254" s="2">
        <f t="shared" si="13"/>
        <v>9.9356913183279733E-3</v>
      </c>
      <c r="H254" s="2">
        <f t="shared" si="13"/>
        <v>3.3641160949868069E-2</v>
      </c>
      <c r="I254" s="2">
        <f t="shared" si="13"/>
        <v>9.2576783695998324E-2</v>
      </c>
    </row>
    <row r="255" spans="2:9" x14ac:dyDescent="0.55000000000000004">
      <c r="G255" s="4"/>
      <c r="H255" s="4"/>
    </row>
    <row r="256" spans="2:9" x14ac:dyDescent="0.55000000000000004">
      <c r="B256" t="s">
        <v>301</v>
      </c>
      <c r="C256" s="9">
        <f>C245-C246-C253+C249</f>
        <v>38.180999999999997</v>
      </c>
      <c r="D256" s="4">
        <f>D245-D246-D253</f>
        <v>302.7</v>
      </c>
      <c r="E256" s="4">
        <f>E245-E246-E253</f>
        <v>1292.5000000000009</v>
      </c>
      <c r="F256" s="9">
        <f>F245-F246-F253+F249</f>
        <v>837.49999999999989</v>
      </c>
      <c r="G256" s="4">
        <f>G245-G246-G253</f>
        <v>53.209999999999994</v>
      </c>
      <c r="H256" s="4">
        <f>H245-H246-H253</f>
        <v>73</v>
      </c>
      <c r="I256" s="9">
        <f>I245-I246-I253+I249</f>
        <v>143.59153510676808</v>
      </c>
    </row>
    <row r="257" spans="2:9" x14ac:dyDescent="0.55000000000000004">
      <c r="B257" t="s">
        <v>57</v>
      </c>
      <c r="C257" s="2">
        <f t="shared" ref="C257:I257" si="14">C256/C232</f>
        <v>0.61241478867591626</v>
      </c>
      <c r="D257" s="2">
        <f t="shared" si="14"/>
        <v>0.44241449868459509</v>
      </c>
      <c r="E257" s="2">
        <f t="shared" si="14"/>
        <v>0.31982282928760564</v>
      </c>
      <c r="F257" s="2">
        <f t="shared" si="14"/>
        <v>0.25227423338755345</v>
      </c>
      <c r="G257" s="2">
        <f t="shared" si="14"/>
        <v>0.17109324758842442</v>
      </c>
      <c r="H257" s="2">
        <f t="shared" si="14"/>
        <v>0.24076517150395779</v>
      </c>
      <c r="I257" s="2">
        <f t="shared" si="14"/>
        <v>0.40717011176221879</v>
      </c>
    </row>
    <row r="259" spans="2:9" x14ac:dyDescent="0.55000000000000004">
      <c r="B259" t="s">
        <v>117</v>
      </c>
      <c r="C259">
        <v>100</v>
      </c>
      <c r="D259">
        <v>100</v>
      </c>
      <c r="E259">
        <v>100</v>
      </c>
      <c r="F259">
        <v>100</v>
      </c>
      <c r="G259">
        <v>100</v>
      </c>
      <c r="H259">
        <v>100</v>
      </c>
      <c r="I259">
        <v>100</v>
      </c>
    </row>
    <row r="260" spans="2:9" x14ac:dyDescent="0.55000000000000004">
      <c r="B260" t="s">
        <v>301</v>
      </c>
      <c r="C260" s="9">
        <f t="shared" ref="C260:I260" si="15">C259-SUM(C261:C265)</f>
        <v>61.241478867591624</v>
      </c>
      <c r="D260" s="9">
        <f t="shared" si="15"/>
        <v>44.241449868459512</v>
      </c>
      <c r="E260" s="9">
        <f t="shared" si="15"/>
        <v>31.982282928760554</v>
      </c>
      <c r="F260" s="9">
        <f t="shared" si="15"/>
        <v>25.643111030784993</v>
      </c>
      <c r="G260" s="9">
        <f t="shared" si="15"/>
        <v>17.109324758842433</v>
      </c>
      <c r="H260" s="9">
        <f t="shared" si="15"/>
        <v>24.076517150395787</v>
      </c>
      <c r="I260" s="9">
        <f t="shared" si="15"/>
        <v>40.717011176221874</v>
      </c>
    </row>
    <row r="261" spans="2:9" x14ac:dyDescent="0.55000000000000004">
      <c r="B261" t="str">
        <f>B234</f>
        <v>Non COGS Opex</v>
      </c>
      <c r="C261" s="9">
        <f t="shared" ref="C261:I261" si="16">C235*C$259</f>
        <v>32.743604138262896</v>
      </c>
      <c r="D261" s="9">
        <f t="shared" si="16"/>
        <v>41.172171879567379</v>
      </c>
      <c r="E261" s="9">
        <f t="shared" si="16"/>
        <v>46.769603840348395</v>
      </c>
      <c r="F261" s="9">
        <f t="shared" si="16"/>
        <v>58.102897764925601</v>
      </c>
      <c r="G261" s="9">
        <f t="shared" si="16"/>
        <v>47.588424437299039</v>
      </c>
      <c r="H261" s="9">
        <f t="shared" si="16"/>
        <v>64.149076517150391</v>
      </c>
      <c r="I261" s="9">
        <f t="shared" si="16"/>
        <v>44.530050770840219</v>
      </c>
    </row>
    <row r="262" spans="2:9" x14ac:dyDescent="0.55000000000000004">
      <c r="B262" t="str">
        <f>B240</f>
        <v>D&amp;A</v>
      </c>
      <c r="C262" s="9">
        <f t="shared" ref="C262:I262" si="17">C241*C$259</f>
        <v>1.5911460421846177</v>
      </c>
      <c r="D262" s="9">
        <f t="shared" si="17"/>
        <v>4.180064308681672</v>
      </c>
      <c r="E262" s="9">
        <f t="shared" si="17"/>
        <v>9.3113602058743457</v>
      </c>
      <c r="F262" s="9">
        <f t="shared" si="17"/>
        <v>7.7203445990722344</v>
      </c>
      <c r="G262" s="9">
        <f t="shared" si="17"/>
        <v>22.411575562700968</v>
      </c>
      <c r="H262" s="9">
        <f t="shared" si="17"/>
        <v>7.1569920844327175</v>
      </c>
      <c r="I262" s="9">
        <f t="shared" si="17"/>
        <v>4.0774528764832469</v>
      </c>
    </row>
    <row r="263" spans="2:9" x14ac:dyDescent="0.55000000000000004">
      <c r="B263" t="str">
        <f>B246</f>
        <v>Fin charges</v>
      </c>
      <c r="C263" s="9">
        <f t="shared" ref="C263:I263" si="18">C247*C$259</f>
        <v>-0.75868153019488327</v>
      </c>
      <c r="D263" s="9">
        <f t="shared" si="18"/>
        <v>1.3154048523823443</v>
      </c>
      <c r="E263" s="9">
        <f t="shared" si="18"/>
        <v>0</v>
      </c>
      <c r="F263" s="9">
        <f t="shared" si="18"/>
        <v>0</v>
      </c>
      <c r="G263" s="9">
        <f t="shared" si="18"/>
        <v>11.89710610932476</v>
      </c>
      <c r="H263" s="9">
        <f t="shared" si="18"/>
        <v>1.2532981530343008</v>
      </c>
      <c r="I263" s="9">
        <f t="shared" si="18"/>
        <v>1.4178068068548253</v>
      </c>
    </row>
    <row r="264" spans="2:9" x14ac:dyDescent="0.55000000000000004">
      <c r="B264" t="str">
        <f>B249</f>
        <v>Plus associates</v>
      </c>
      <c r="C264" s="9">
        <f t="shared" ref="C264:I264" si="19">C250*C$259</f>
        <v>0</v>
      </c>
      <c r="D264" s="9">
        <f t="shared" si="19"/>
        <v>0</v>
      </c>
      <c r="E264" s="9">
        <f t="shared" si="19"/>
        <v>0</v>
      </c>
      <c r="F264" s="9">
        <f t="shared" si="19"/>
        <v>-0.20784384601482017</v>
      </c>
      <c r="G264" s="9">
        <f t="shared" si="19"/>
        <v>0</v>
      </c>
      <c r="H264" s="9">
        <f t="shared" si="19"/>
        <v>0</v>
      </c>
      <c r="I264" s="9">
        <f t="shared" si="19"/>
        <v>0</v>
      </c>
    </row>
    <row r="265" spans="2:9" x14ac:dyDescent="0.55000000000000004">
      <c r="B265" t="str">
        <f>B253</f>
        <v>Tax</v>
      </c>
      <c r="C265" s="9">
        <f t="shared" ref="C265:I265" si="20">C254*C$259</f>
        <v>5.1824524821557461</v>
      </c>
      <c r="D265" s="9">
        <f t="shared" si="20"/>
        <v>9.0909090909090917</v>
      </c>
      <c r="E265" s="9">
        <f t="shared" si="20"/>
        <v>11.936753025016699</v>
      </c>
      <c r="F265" s="9">
        <f t="shared" si="20"/>
        <v>8.7414904512320017</v>
      </c>
      <c r="G265" s="9">
        <f t="shared" si="20"/>
        <v>0.99356913183279738</v>
      </c>
      <c r="H265" s="9">
        <f t="shared" si="20"/>
        <v>3.364116094986807</v>
      </c>
      <c r="I265" s="9">
        <f t="shared" si="20"/>
        <v>9.2576783695998319</v>
      </c>
    </row>
    <row r="267" spans="2:9" x14ac:dyDescent="0.55000000000000004">
      <c r="B267" t="s">
        <v>333</v>
      </c>
      <c r="C267">
        <v>365</v>
      </c>
      <c r="F267">
        <v>1747</v>
      </c>
      <c r="G267">
        <v>2243</v>
      </c>
    </row>
    <row r="268" spans="2:9" x14ac:dyDescent="0.55000000000000004">
      <c r="B268" t="s">
        <v>337</v>
      </c>
      <c r="C268" s="9">
        <f>C232*1000000/C267</f>
        <v>170808.21917808219</v>
      </c>
      <c r="F268" s="9">
        <f>D232*1000000/F267</f>
        <v>391642.8162564396</v>
      </c>
      <c r="G268" s="9">
        <f>H232*1000000/G267</f>
        <v>135176.10343290237</v>
      </c>
    </row>
    <row r="271" spans="2:9" x14ac:dyDescent="0.55000000000000004">
      <c r="B271" s="7" t="s">
        <v>338</v>
      </c>
    </row>
    <row r="273" spans="2:7" x14ac:dyDescent="0.55000000000000004">
      <c r="B273" s="14"/>
      <c r="C273" s="43" t="s">
        <v>51</v>
      </c>
      <c r="D273" s="43" t="s">
        <v>18</v>
      </c>
      <c r="E273" s="43" t="s">
        <v>65</v>
      </c>
      <c r="F273" s="43" t="str">
        <f>C273</f>
        <v>Pay-in</v>
      </c>
      <c r="G273" s="43" t="str">
        <f>D273</f>
        <v>Pay-out</v>
      </c>
    </row>
    <row r="274" spans="2:7" x14ac:dyDescent="0.55000000000000004">
      <c r="B274" t="s">
        <v>339</v>
      </c>
      <c r="C274" s="9">
        <f>E274</f>
        <v>35</v>
      </c>
      <c r="D274">
        <v>0</v>
      </c>
      <c r="E274">
        <v>35</v>
      </c>
      <c r="F274" s="2">
        <f t="shared" ref="F274:G278" si="21">C274/C$278</f>
        <v>0.63636363636363635</v>
      </c>
      <c r="G274" s="2">
        <f t="shared" si="21"/>
        <v>0</v>
      </c>
    </row>
    <row r="275" spans="2:7" x14ac:dyDescent="0.55000000000000004">
      <c r="B275" t="s">
        <v>340</v>
      </c>
      <c r="C275" s="9">
        <f>E275</f>
        <v>15</v>
      </c>
      <c r="D275">
        <v>0</v>
      </c>
      <c r="E275">
        <f>E278-E277-E276-E274</f>
        <v>15</v>
      </c>
      <c r="F275" s="2">
        <f t="shared" si="21"/>
        <v>0.27272727272727271</v>
      </c>
      <c r="G275" s="2">
        <f t="shared" si="21"/>
        <v>0</v>
      </c>
    </row>
    <row r="276" spans="2:7" x14ac:dyDescent="0.55000000000000004">
      <c r="B276" t="s">
        <v>341</v>
      </c>
      <c r="C276" s="9">
        <f>E276-D276</f>
        <v>3</v>
      </c>
      <c r="D276">
        <v>2</v>
      </c>
      <c r="E276">
        <v>5</v>
      </c>
      <c r="F276" s="2">
        <f t="shared" si="21"/>
        <v>5.4545454545454543E-2</v>
      </c>
      <c r="G276" s="2">
        <f t="shared" si="21"/>
        <v>4.4444444444444446E-2</v>
      </c>
    </row>
    <row r="277" spans="2:7" x14ac:dyDescent="0.55000000000000004">
      <c r="B277" s="14" t="s">
        <v>342</v>
      </c>
      <c r="C277" s="14">
        <f>E277-D277</f>
        <v>2</v>
      </c>
      <c r="D277" s="14">
        <v>43</v>
      </c>
      <c r="E277" s="14">
        <v>45</v>
      </c>
      <c r="F277" s="44">
        <f t="shared" si="21"/>
        <v>3.6363636363636362E-2</v>
      </c>
      <c r="G277" s="44">
        <f t="shared" si="21"/>
        <v>0.9555555555555556</v>
      </c>
    </row>
    <row r="278" spans="2:7" x14ac:dyDescent="0.55000000000000004">
      <c r="B278" t="s">
        <v>65</v>
      </c>
      <c r="C278" s="9">
        <f>SUM(C274:C277)</f>
        <v>55</v>
      </c>
      <c r="D278">
        <f>SUM(D274:D277)</f>
        <v>45</v>
      </c>
      <c r="E278">
        <v>100</v>
      </c>
      <c r="F278" s="2">
        <f t="shared" si="21"/>
        <v>1</v>
      </c>
      <c r="G278" s="2">
        <f t="shared" si="21"/>
        <v>1</v>
      </c>
    </row>
    <row r="280" spans="2:7" x14ac:dyDescent="0.55000000000000004">
      <c r="B280" s="7" t="s">
        <v>345</v>
      </c>
    </row>
    <row r="281" spans="2:7" x14ac:dyDescent="0.55000000000000004">
      <c r="C281" t="s">
        <v>346</v>
      </c>
      <c r="D281" t="s">
        <v>347</v>
      </c>
    </row>
    <row r="282" spans="2:7" x14ac:dyDescent="0.55000000000000004">
      <c r="B282" t="s">
        <v>348</v>
      </c>
      <c r="C282" s="9">
        <f>0.2*Master!$E$43*1000</f>
        <v>412.80000000000007</v>
      </c>
      <c r="D282" s="9">
        <f>C282/2</f>
        <v>206.40000000000003</v>
      </c>
    </row>
    <row r="283" spans="2:7" x14ac:dyDescent="0.55000000000000004">
      <c r="B283" s="80" t="s">
        <v>349</v>
      </c>
      <c r="C283" s="9">
        <f>0.64*Master!$E$43*1000-C282</f>
        <v>908.16</v>
      </c>
      <c r="D283" s="9">
        <f>C283/8</f>
        <v>113.52</v>
      </c>
    </row>
    <row r="284" spans="2:7" x14ac:dyDescent="0.55000000000000004">
      <c r="B284" t="s">
        <v>350</v>
      </c>
      <c r="C284" s="9">
        <f>Master!$E$43*1000-C282-C283</f>
        <v>743.03999999999985</v>
      </c>
      <c r="D284" s="9">
        <f>C284/330</f>
        <v>2.2516363636363632</v>
      </c>
    </row>
    <row r="297" spans="2:8" x14ac:dyDescent="0.55000000000000004">
      <c r="B297" t="s">
        <v>351</v>
      </c>
    </row>
    <row r="300" spans="2:8" x14ac:dyDescent="0.55000000000000004">
      <c r="B300" s="14" t="s">
        <v>356</v>
      </c>
      <c r="C300" s="14">
        <v>2016</v>
      </c>
      <c r="D300" s="14">
        <f>C300+1</f>
        <v>2017</v>
      </c>
      <c r="E300" s="14">
        <f>D300+1</f>
        <v>2018</v>
      </c>
      <c r="F300" s="14">
        <f>E300+1</f>
        <v>2019</v>
      </c>
      <c r="G300" s="14">
        <f>F300+1</f>
        <v>2020</v>
      </c>
      <c r="H300" s="40" t="s">
        <v>352</v>
      </c>
    </row>
    <row r="301" spans="2:8" x14ac:dyDescent="0.55000000000000004">
      <c r="B301" t="s">
        <v>353</v>
      </c>
      <c r="C301" s="13">
        <v>750</v>
      </c>
      <c r="D301" s="13">
        <v>843</v>
      </c>
      <c r="E301" s="13">
        <v>966</v>
      </c>
      <c r="F301" s="13">
        <v>1155</v>
      </c>
      <c r="G301" s="13">
        <v>1185</v>
      </c>
      <c r="H301" s="13">
        <f>336*4</f>
        <v>1344</v>
      </c>
    </row>
    <row r="302" spans="2:8" x14ac:dyDescent="0.55000000000000004">
      <c r="B302" t="s">
        <v>354</v>
      </c>
      <c r="C302" s="13">
        <v>451</v>
      </c>
      <c r="D302" s="13">
        <v>508</v>
      </c>
      <c r="E302" s="13">
        <v>576</v>
      </c>
      <c r="F302" s="13">
        <v>664</v>
      </c>
      <c r="G302" s="13">
        <v>762</v>
      </c>
      <c r="H302" s="13">
        <f>204*4</f>
        <v>816</v>
      </c>
    </row>
    <row r="303" spans="2:8" x14ac:dyDescent="0.55000000000000004">
      <c r="B303" t="s">
        <v>355</v>
      </c>
      <c r="C303" s="13">
        <v>4</v>
      </c>
      <c r="D303" s="13">
        <v>6</v>
      </c>
      <c r="E303" s="13">
        <v>14</v>
      </c>
      <c r="F303" s="13">
        <v>22</v>
      </c>
      <c r="G303" s="13">
        <v>45</v>
      </c>
      <c r="H303" s="13">
        <f>18*4</f>
        <v>72</v>
      </c>
    </row>
    <row r="308" spans="2:10" x14ac:dyDescent="0.55000000000000004">
      <c r="B308" s="64" t="s">
        <v>383</v>
      </c>
      <c r="C308" s="65" t="s">
        <v>369</v>
      </c>
      <c r="D308" s="65" t="s">
        <v>373</v>
      </c>
      <c r="E308" s="65" t="s">
        <v>166</v>
      </c>
      <c r="F308" s="65" t="s">
        <v>388</v>
      </c>
      <c r="G308" s="65" t="s">
        <v>389</v>
      </c>
      <c r="I308" s="65" t="s">
        <v>381</v>
      </c>
      <c r="J308" s="65" t="s">
        <v>385</v>
      </c>
    </row>
    <row r="309" spans="2:10" x14ac:dyDescent="0.55000000000000004">
      <c r="B309" s="88" t="s">
        <v>374</v>
      </c>
      <c r="C309" s="89"/>
      <c r="D309" s="89">
        <v>53</v>
      </c>
      <c r="E309" s="89">
        <f>D309</f>
        <v>53</v>
      </c>
      <c r="F309" s="70">
        <f>E309/E$319</f>
        <v>0.18105821557973151</v>
      </c>
      <c r="G309" s="70">
        <f>I309/H$319</f>
        <v>1.8048878132816994</v>
      </c>
      <c r="I309" s="68">
        <f>D309*5</f>
        <v>265</v>
      </c>
      <c r="J309" s="82" t="s">
        <v>386</v>
      </c>
    </row>
    <row r="310" spans="2:10" x14ac:dyDescent="0.55000000000000004">
      <c r="B310" s="83" t="s">
        <v>384</v>
      </c>
      <c r="C310" s="84"/>
      <c r="D310" s="84">
        <v>53</v>
      </c>
      <c r="E310" s="84">
        <f>D310</f>
        <v>53</v>
      </c>
      <c r="F310" s="73">
        <f>E310/E$319</f>
        <v>0.18105821557973151</v>
      </c>
      <c r="G310" s="73">
        <f>I310/H$319</f>
        <v>1.8048878132816994</v>
      </c>
      <c r="I310" s="68">
        <f>D310*5</f>
        <v>265</v>
      </c>
      <c r="J310" s="82" t="s">
        <v>387</v>
      </c>
    </row>
    <row r="311" spans="2:10" x14ac:dyDescent="0.55000000000000004">
      <c r="B311" s="88" t="s">
        <v>375</v>
      </c>
      <c r="C311" s="89"/>
      <c r="D311" s="89">
        <v>19.399999999999999</v>
      </c>
      <c r="E311" s="89">
        <f>D311</f>
        <v>19.399999999999999</v>
      </c>
      <c r="F311" s="70">
        <f>E311/E$319</f>
        <v>6.6274139287675296E-2</v>
      </c>
      <c r="G311" s="70">
        <f>I311/H$319</f>
        <v>0.66065704863518804</v>
      </c>
      <c r="I311" s="68">
        <f>D311*5</f>
        <v>97</v>
      </c>
    </row>
    <row r="312" spans="2:10" x14ac:dyDescent="0.55000000000000004">
      <c r="B312" s="83" t="s">
        <v>382</v>
      </c>
      <c r="C312" s="84"/>
      <c r="D312" s="84">
        <v>13.8</v>
      </c>
      <c r="E312" s="84">
        <f>D312</f>
        <v>13.8</v>
      </c>
      <c r="F312" s="73">
        <f>E312/E$319</f>
        <v>4.7143459905665944E-2</v>
      </c>
      <c r="G312" s="73">
        <f>I312/H$319</f>
        <v>0.46995192119410284</v>
      </c>
      <c r="I312" s="68">
        <f>D312*5</f>
        <v>69</v>
      </c>
    </row>
    <row r="313" spans="2:10" x14ac:dyDescent="0.55000000000000004">
      <c r="B313" s="88" t="s">
        <v>376</v>
      </c>
      <c r="C313" s="89"/>
      <c r="D313" s="89">
        <v>6.7</v>
      </c>
      <c r="E313" s="89">
        <f>D313</f>
        <v>6.7</v>
      </c>
      <c r="F313" s="70">
        <f>E313/E$319</f>
        <v>2.2888491403475493E-2</v>
      </c>
      <c r="G313" s="70">
        <f>I313/H$319</f>
        <v>0.22816506318844124</v>
      </c>
      <c r="I313" s="68">
        <f>D313*5</f>
        <v>33.5</v>
      </c>
    </row>
    <row r="314" spans="2:10" x14ac:dyDescent="0.55000000000000004">
      <c r="B314" s="68"/>
      <c r="C314" s="84"/>
      <c r="D314" s="84"/>
      <c r="E314" s="84"/>
      <c r="F314" s="73"/>
      <c r="G314" s="73"/>
      <c r="H314" s="68"/>
    </row>
    <row r="315" spans="2:10" x14ac:dyDescent="0.55000000000000004">
      <c r="B315" s="88" t="s">
        <v>377</v>
      </c>
      <c r="C315" s="89">
        <v>62.4</v>
      </c>
      <c r="D315" s="89"/>
      <c r="E315" s="89">
        <f>C315</f>
        <v>62.4</v>
      </c>
      <c r="F315" s="70">
        <f>E315/E$319</f>
        <v>0.21317042739953293</v>
      </c>
      <c r="G315" s="70">
        <f>H315/H$319</f>
        <v>0.42499999829727564</v>
      </c>
      <c r="H315" s="84">
        <f>C315*1</f>
        <v>62.4</v>
      </c>
    </row>
    <row r="316" spans="2:10" x14ac:dyDescent="0.55000000000000004">
      <c r="B316" s="83" t="s">
        <v>378</v>
      </c>
      <c r="C316" s="84">
        <v>15.1</v>
      </c>
      <c r="D316" s="84"/>
      <c r="E316" s="84">
        <f>C316</f>
        <v>15.1</v>
      </c>
      <c r="F316" s="73">
        <f>E316/E$319</f>
        <v>5.1584510476489542E-2</v>
      </c>
      <c r="G316" s="73">
        <f>H316/H$319</f>
        <v>0.10284455087001382</v>
      </c>
      <c r="H316" s="84">
        <f>C316*1</f>
        <v>15.1</v>
      </c>
    </row>
    <row r="317" spans="2:10" x14ac:dyDescent="0.55000000000000004">
      <c r="B317" s="88" t="s">
        <v>379</v>
      </c>
      <c r="C317" s="89">
        <f>Master!F250</f>
        <v>33.823529999999998</v>
      </c>
      <c r="D317" s="89"/>
      <c r="E317" s="89">
        <f>C317</f>
        <v>33.823529999999998</v>
      </c>
      <c r="F317" s="70">
        <f>E317/E$319</f>
        <v>0.11554769785674558</v>
      </c>
      <c r="G317" s="70">
        <f>H317/H$319</f>
        <v>0.23036859282704888</v>
      </c>
      <c r="H317" s="84">
        <f>C317*1</f>
        <v>33.823529999999998</v>
      </c>
    </row>
    <row r="318" spans="2:10" x14ac:dyDescent="0.55000000000000004">
      <c r="B318" s="85" t="s">
        <v>380</v>
      </c>
      <c r="C318" s="86">
        <v>35.5</v>
      </c>
      <c r="D318" s="86"/>
      <c r="E318" s="86">
        <f>C318</f>
        <v>35.5</v>
      </c>
      <c r="F318" s="87">
        <f>E318/E$319</f>
        <v>0.12127484251095223</v>
      </c>
      <c r="G318" s="87">
        <f>H318/H$319</f>
        <v>0.24178685800566163</v>
      </c>
      <c r="H318" s="86">
        <f>C318*1</f>
        <v>35.5</v>
      </c>
    </row>
    <row r="319" spans="2:10" x14ac:dyDescent="0.55000000000000004">
      <c r="B319" s="90" t="s">
        <v>65</v>
      </c>
      <c r="C319" s="91">
        <f>SUM(C315:C318)</f>
        <v>146.82353000000001</v>
      </c>
      <c r="D319" s="91">
        <f>SUM(D309:D318)</f>
        <v>145.9</v>
      </c>
      <c r="E319" s="91">
        <f>SUM(E309:E318)</f>
        <v>292.72352999999998</v>
      </c>
      <c r="F319" s="92">
        <f>E319/E$319</f>
        <v>1</v>
      </c>
      <c r="G319" s="92">
        <f>H319/H$319</f>
        <v>1</v>
      </c>
      <c r="H319" s="84">
        <f>SUM(H309:H318)</f>
        <v>146.82353000000001</v>
      </c>
    </row>
    <row r="322" spans="2:4" x14ac:dyDescent="0.55000000000000004">
      <c r="B322" t="s">
        <v>391</v>
      </c>
    </row>
    <row r="324" spans="2:4" x14ac:dyDescent="0.55000000000000004">
      <c r="B324" s="99">
        <v>2023</v>
      </c>
      <c r="C324" s="5" t="s">
        <v>392</v>
      </c>
      <c r="D324" s="5" t="s">
        <v>310</v>
      </c>
    </row>
    <row r="325" spans="2:4" x14ac:dyDescent="0.55000000000000004">
      <c r="B325" t="s">
        <v>273</v>
      </c>
      <c r="C325">
        <v>46.6</v>
      </c>
      <c r="D325">
        <v>82</v>
      </c>
    </row>
    <row r="326" spans="2:4" x14ac:dyDescent="0.55000000000000004">
      <c r="B326" t="s">
        <v>275</v>
      </c>
      <c r="C326">
        <v>11.7</v>
      </c>
      <c r="D326">
        <v>44</v>
      </c>
    </row>
    <row r="327" spans="2:4" x14ac:dyDescent="0.55000000000000004">
      <c r="B327" t="s">
        <v>393</v>
      </c>
      <c r="C327">
        <v>8.8000000000000007</v>
      </c>
      <c r="D327">
        <v>31</v>
      </c>
    </row>
    <row r="328" spans="2:4" x14ac:dyDescent="0.55000000000000004">
      <c r="B328" t="s">
        <v>390</v>
      </c>
      <c r="C328">
        <v>38</v>
      </c>
      <c r="D328">
        <v>80</v>
      </c>
    </row>
    <row r="329" spans="2:4" x14ac:dyDescent="0.55000000000000004">
      <c r="B329" t="s">
        <v>335</v>
      </c>
      <c r="C329">
        <v>14.5</v>
      </c>
      <c r="D329">
        <v>49</v>
      </c>
    </row>
    <row r="330" spans="2:4" x14ac:dyDescent="0.55000000000000004">
      <c r="B330" t="s">
        <v>394</v>
      </c>
      <c r="C330">
        <v>10.5</v>
      </c>
      <c r="D330">
        <v>46.1</v>
      </c>
    </row>
    <row r="332" spans="2:4" x14ac:dyDescent="0.55000000000000004">
      <c r="B332" t="s">
        <v>273</v>
      </c>
      <c r="C332">
        <v>48.6</v>
      </c>
    </row>
    <row r="333" spans="2:4" x14ac:dyDescent="0.55000000000000004">
      <c r="B333" t="s">
        <v>390</v>
      </c>
      <c r="C333">
        <v>38</v>
      </c>
    </row>
    <row r="334" spans="2:4" x14ac:dyDescent="0.55000000000000004">
      <c r="B334" t="s">
        <v>335</v>
      </c>
      <c r="C334">
        <v>14.5</v>
      </c>
    </row>
    <row r="335" spans="2:4" x14ac:dyDescent="0.55000000000000004">
      <c r="B335" t="s">
        <v>275</v>
      </c>
      <c r="C335">
        <v>11.7</v>
      </c>
    </row>
    <row r="336" spans="2:4" x14ac:dyDescent="0.55000000000000004">
      <c r="B336" t="s">
        <v>394</v>
      </c>
      <c r="C336">
        <v>10.5</v>
      </c>
    </row>
    <row r="337" spans="2:3" x14ac:dyDescent="0.55000000000000004">
      <c r="B337" t="s">
        <v>393</v>
      </c>
      <c r="C337">
        <v>8.8000000000000007</v>
      </c>
    </row>
    <row r="339" spans="2:3" x14ac:dyDescent="0.55000000000000004">
      <c r="B339" t="s">
        <v>273</v>
      </c>
      <c r="C339">
        <v>85</v>
      </c>
    </row>
    <row r="340" spans="2:3" x14ac:dyDescent="0.55000000000000004">
      <c r="B340" t="s">
        <v>390</v>
      </c>
      <c r="C340">
        <v>80</v>
      </c>
    </row>
    <row r="341" spans="2:3" x14ac:dyDescent="0.55000000000000004">
      <c r="B341" t="s">
        <v>335</v>
      </c>
      <c r="C341">
        <v>49</v>
      </c>
    </row>
    <row r="342" spans="2:3" x14ac:dyDescent="0.55000000000000004">
      <c r="B342" t="s">
        <v>394</v>
      </c>
      <c r="C342" s="9">
        <v>46.1</v>
      </c>
    </row>
    <row r="343" spans="2:3" x14ac:dyDescent="0.55000000000000004">
      <c r="B343" t="s">
        <v>275</v>
      </c>
      <c r="C343">
        <v>44</v>
      </c>
    </row>
    <row r="344" spans="2:3" x14ac:dyDescent="0.55000000000000004">
      <c r="B344" t="s">
        <v>393</v>
      </c>
      <c r="C344">
        <v>31</v>
      </c>
    </row>
    <row r="346" spans="2:3" x14ac:dyDescent="0.55000000000000004">
      <c r="B346" s="64" t="s">
        <v>2</v>
      </c>
      <c r="C346" s="71"/>
    </row>
    <row r="347" spans="2:3" x14ac:dyDescent="0.55000000000000004">
      <c r="B347" s="66" t="s">
        <v>401</v>
      </c>
      <c r="C347" s="67">
        <f>100000/5.2</f>
        <v>19230.76923076923</v>
      </c>
    </row>
    <row r="348" spans="2:3" x14ac:dyDescent="0.55000000000000004">
      <c r="B348" s="68" t="s">
        <v>395</v>
      </c>
      <c r="C348" s="69">
        <f>C347/0.3</f>
        <v>64102.564102564102</v>
      </c>
    </row>
    <row r="349" spans="2:3" x14ac:dyDescent="0.55000000000000004">
      <c r="B349" s="66" t="s">
        <v>396</v>
      </c>
      <c r="C349" s="66">
        <v>125</v>
      </c>
    </row>
    <row r="350" spans="2:3" x14ac:dyDescent="0.55000000000000004">
      <c r="B350" s="68" t="s">
        <v>397</v>
      </c>
      <c r="C350" s="77">
        <f>(C349)/10000*C348</f>
        <v>801.28205128205127</v>
      </c>
    </row>
    <row r="351" spans="2:3" x14ac:dyDescent="0.55000000000000004">
      <c r="B351" s="66" t="s">
        <v>398</v>
      </c>
      <c r="C351" s="70">
        <v>2.5000000000000001E-2</v>
      </c>
    </row>
    <row r="352" spans="2:3" x14ac:dyDescent="0.55000000000000004">
      <c r="B352" s="68" t="s">
        <v>399</v>
      </c>
      <c r="C352" s="77">
        <f>C351*C350</f>
        <v>20.032051282051285</v>
      </c>
    </row>
    <row r="353" spans="2:12" x14ac:dyDescent="0.55000000000000004">
      <c r="B353" s="74" t="s">
        <v>400</v>
      </c>
      <c r="C353" s="100">
        <f>C352/Master!F98</f>
        <v>8.2064937656908171E-2</v>
      </c>
    </row>
    <row r="356" spans="2:12" x14ac:dyDescent="0.55000000000000004">
      <c r="B356" s="22" t="s">
        <v>482</v>
      </c>
    </row>
    <row r="358" spans="2:12" x14ac:dyDescent="0.55000000000000004">
      <c r="B358" s="64" t="s">
        <v>484</v>
      </c>
      <c r="C358" s="64">
        <v>2021</v>
      </c>
      <c r="D358" s="64">
        <f t="shared" ref="D358:L358" si="22">C358+1</f>
        <v>2022</v>
      </c>
      <c r="E358" s="64">
        <f t="shared" si="22"/>
        <v>2023</v>
      </c>
      <c r="F358" s="64">
        <f t="shared" si="22"/>
        <v>2024</v>
      </c>
      <c r="G358" s="64">
        <f t="shared" si="22"/>
        <v>2025</v>
      </c>
      <c r="H358" s="64">
        <f t="shared" si="22"/>
        <v>2026</v>
      </c>
      <c r="I358" s="64">
        <f t="shared" si="22"/>
        <v>2027</v>
      </c>
      <c r="J358" s="64">
        <f t="shared" si="22"/>
        <v>2028</v>
      </c>
      <c r="K358" s="64">
        <f t="shared" si="22"/>
        <v>2029</v>
      </c>
      <c r="L358" s="64">
        <f t="shared" si="22"/>
        <v>2030</v>
      </c>
    </row>
    <row r="359" spans="2:12" x14ac:dyDescent="0.55000000000000004">
      <c r="B359" s="66" t="s">
        <v>0</v>
      </c>
      <c r="C359" s="67">
        <f>Master!F43*1000</f>
        <v>6049</v>
      </c>
      <c r="D359" s="67">
        <f>Master!G43*1000</f>
        <v>10567</v>
      </c>
      <c r="E359" s="67">
        <f>Master!H43*1000</f>
        <v>17677</v>
      </c>
      <c r="F359" s="67">
        <f>Master!I43*1000</f>
        <v>25876.946768718459</v>
      </c>
      <c r="G359" s="67">
        <f>Master!J43*1000</f>
        <v>35822.434701840466</v>
      </c>
      <c r="H359" s="67">
        <f>Master!K43*1000</f>
        <v>46513.970674718657</v>
      </c>
      <c r="I359" s="67">
        <f>Master!L43*1000</f>
        <v>59341.870867405749</v>
      </c>
      <c r="J359" s="67">
        <f>Master!M43*1000</f>
        <v>71415.566005184548</v>
      </c>
      <c r="K359" s="67">
        <f>Master!N43*1000</f>
        <v>84611.317718695398</v>
      </c>
      <c r="L359" s="67">
        <f>Master!O43*1000</f>
        <v>99686.169259855029</v>
      </c>
    </row>
    <row r="360" spans="2:12" x14ac:dyDescent="0.55000000000000004">
      <c r="B360" s="68" t="s">
        <v>130</v>
      </c>
      <c r="C360" s="69">
        <f>Master!F98</f>
        <v>244.1</v>
      </c>
      <c r="D360" s="69">
        <f>Master!G98</f>
        <v>418.9</v>
      </c>
      <c r="E360" s="69">
        <f>Master!H98</f>
        <v>650.4</v>
      </c>
      <c r="F360" s="69">
        <f>Master!I98</f>
        <v>794.83371482889743</v>
      </c>
      <c r="G360" s="69">
        <f>Master!J98</f>
        <v>999.13239999999996</v>
      </c>
      <c r="H360" s="69">
        <f>Master!K98</f>
        <v>1257.1456580882355</v>
      </c>
      <c r="I360" s="69">
        <f>Master!L98</f>
        <v>1539.6776221056807</v>
      </c>
      <c r="J360" s="69">
        <f>Master!M98</f>
        <v>1797.4499993440272</v>
      </c>
      <c r="K360" s="69">
        <f>Master!N98</f>
        <v>2046.652028845428</v>
      </c>
      <c r="L360" s="69">
        <f>Master!O98</f>
        <v>2340.1876535483857</v>
      </c>
    </row>
    <row r="361" spans="2:12" x14ac:dyDescent="0.55000000000000004">
      <c r="B361" s="66" t="s">
        <v>217</v>
      </c>
      <c r="C361" s="70">
        <f t="shared" ref="C361:L361" si="23">C360/C359</f>
        <v>4.035377748388163E-2</v>
      </c>
      <c r="D361" s="70">
        <f t="shared" si="23"/>
        <v>3.9642282577836661E-2</v>
      </c>
      <c r="E361" s="70">
        <f t="shared" si="23"/>
        <v>3.679357357017593E-2</v>
      </c>
      <c r="F361" s="70">
        <f t="shared" si="23"/>
        <v>3.0715900215466614E-2</v>
      </c>
      <c r="G361" s="70">
        <f t="shared" si="23"/>
        <v>2.7891247714345532E-2</v>
      </c>
      <c r="H361" s="70">
        <f t="shared" si="23"/>
        <v>2.70272702986314E-2</v>
      </c>
      <c r="I361" s="70">
        <f t="shared" si="23"/>
        <v>2.5945889463882196E-2</v>
      </c>
      <c r="J361" s="70">
        <f t="shared" si="23"/>
        <v>2.5168882638464812E-2</v>
      </c>
      <c r="K361" s="70">
        <f t="shared" si="23"/>
        <v>2.4188868392877039E-2</v>
      </c>
      <c r="L361" s="70">
        <f t="shared" si="23"/>
        <v>2.3475550027889487E-2</v>
      </c>
    </row>
    <row r="362" spans="2:12" x14ac:dyDescent="0.55000000000000004">
      <c r="B362" s="68" t="s">
        <v>219</v>
      </c>
      <c r="C362" s="79">
        <f>Master!F178</f>
        <v>1.9182692307692308</v>
      </c>
      <c r="D362" s="79">
        <f>Master!G178</f>
        <v>1.5759934453092994</v>
      </c>
      <c r="E362" s="79">
        <f>Master!H178</f>
        <v>1.4621532585342565</v>
      </c>
      <c r="F362" s="79">
        <f>Master!I178</f>
        <v>1.22</v>
      </c>
      <c r="G362" s="79">
        <f>Master!J178</f>
        <v>1.25</v>
      </c>
      <c r="H362" s="79">
        <f>Master!K178</f>
        <v>1.25</v>
      </c>
      <c r="I362" s="79">
        <f>Master!L178</f>
        <v>1.24</v>
      </c>
      <c r="J362" s="79">
        <f>Master!M178</f>
        <v>1.23</v>
      </c>
      <c r="K362" s="79">
        <f>Master!N178</f>
        <v>1.2</v>
      </c>
      <c r="L362" s="79">
        <f>Master!O178</f>
        <v>1.19</v>
      </c>
    </row>
    <row r="363" spans="2:12" x14ac:dyDescent="0.55000000000000004">
      <c r="B363" s="66" t="s">
        <v>117</v>
      </c>
      <c r="C363" s="67">
        <f>Master!F191</f>
        <v>136.82400000000001</v>
      </c>
      <c r="D363" s="67">
        <f>Master!G191</f>
        <v>212.67699999999996</v>
      </c>
      <c r="E363" s="67">
        <f>Master!H191</f>
        <v>294.97799999999995</v>
      </c>
      <c r="F363" s="67">
        <f>Master!I191</f>
        <v>352.65735612397646</v>
      </c>
      <c r="G363" s="67">
        <f>Master!J191</f>
        <v>453.13972491881907</v>
      </c>
      <c r="H363" s="67">
        <f>Master!K191</f>
        <v>570.15730616782207</v>
      </c>
      <c r="I363" s="67">
        <f>Master!L191</f>
        <v>698.29493483008832</v>
      </c>
      <c r="J363" s="67">
        <f>Master!M191</f>
        <v>815.20326861393357</v>
      </c>
      <c r="K363" s="67">
        <f>Master!N191</f>
        <v>928.22466507497938</v>
      </c>
      <c r="L363" s="67">
        <f>Master!O191</f>
        <v>1061.3528192933513</v>
      </c>
    </row>
    <row r="364" spans="2:12" x14ac:dyDescent="0.55000000000000004">
      <c r="B364" s="68"/>
      <c r="C364" s="69"/>
      <c r="D364" s="69"/>
      <c r="E364" s="69"/>
      <c r="F364" s="69"/>
      <c r="G364" s="69"/>
      <c r="H364" s="69"/>
      <c r="I364" s="69"/>
      <c r="J364" s="69"/>
      <c r="K364" s="69"/>
      <c r="L364" s="69"/>
    </row>
    <row r="365" spans="2:12" x14ac:dyDescent="0.55000000000000004">
      <c r="B365" s="66" t="s">
        <v>105</v>
      </c>
      <c r="C365" s="67">
        <f>Master!F195</f>
        <v>130.423</v>
      </c>
      <c r="D365" s="67">
        <f>Master!G195</f>
        <v>202.09999999999997</v>
      </c>
      <c r="E365" s="67">
        <f>Master!H195</f>
        <v>276.90799999999996</v>
      </c>
      <c r="F365" s="67">
        <f>Master!I195</f>
        <v>287.58875022813692</v>
      </c>
      <c r="G365" s="67">
        <f>Master!J195</f>
        <v>377.71537850000004</v>
      </c>
      <c r="H365" s="67">
        <f>Master!K195</f>
        <v>475.73018680147061</v>
      </c>
      <c r="I365" s="67">
        <f>Master!L195</f>
        <v>576.31439949549463</v>
      </c>
      <c r="J365" s="67">
        <f>Master!M195</f>
        <v>670.26082327276958</v>
      </c>
      <c r="K365" s="67">
        <f>Master!N195</f>
        <v>760.7974994790884</v>
      </c>
      <c r="L365" s="67">
        <f>Master!O195</f>
        <v>867.06459217619204</v>
      </c>
    </row>
    <row r="366" spans="2:12" x14ac:dyDescent="0.55000000000000004">
      <c r="B366" s="68" t="s">
        <v>3</v>
      </c>
      <c r="C366" s="69">
        <f>Master!F223</f>
        <v>99.2</v>
      </c>
      <c r="D366" s="69">
        <f>Master!G223</f>
        <v>153.07499999999999</v>
      </c>
      <c r="E366" s="69">
        <f>Master!H223</f>
        <v>202.3</v>
      </c>
      <c r="F366" s="69">
        <f>Master!I223</f>
        <v>195.61885639486695</v>
      </c>
      <c r="G366" s="69">
        <f>Master!J223</f>
        <v>274.67791873499999</v>
      </c>
      <c r="H366" s="69">
        <f>Master!K223</f>
        <v>344.26843262904413</v>
      </c>
      <c r="I366" s="69">
        <f>Master!L223</f>
        <v>415.68322364180119</v>
      </c>
      <c r="J366" s="69">
        <f>Master!M223</f>
        <v>482.3851845236664</v>
      </c>
      <c r="K366" s="69">
        <f>Master!N223</f>
        <v>546.66622463015278</v>
      </c>
      <c r="L366" s="69">
        <f>Master!O223</f>
        <v>622.11586044509625</v>
      </c>
    </row>
    <row r="367" spans="2:12" x14ac:dyDescent="0.55000000000000004">
      <c r="B367" s="66" t="s">
        <v>106</v>
      </c>
      <c r="C367" s="76">
        <f t="shared" ref="C367:L367" si="24">C366/C360</f>
        <v>0.4063908234330193</v>
      </c>
      <c r="D367" s="76">
        <f t="shared" si="24"/>
        <v>0.36542134160897588</v>
      </c>
      <c r="E367" s="76">
        <f t="shared" si="24"/>
        <v>0.31103936039360397</v>
      </c>
      <c r="F367" s="76">
        <f t="shared" si="24"/>
        <v>0.24611293248547905</v>
      </c>
      <c r="G367" s="76">
        <f t="shared" si="24"/>
        <v>0.27491643623507755</v>
      </c>
      <c r="H367" s="76">
        <f t="shared" si="24"/>
        <v>0.27384927944831744</v>
      </c>
      <c r="I367" s="76">
        <f t="shared" si="24"/>
        <v>0.2699806879529158</v>
      </c>
      <c r="J367" s="76">
        <f t="shared" si="24"/>
        <v>0.26837196289171389</v>
      </c>
      <c r="K367" s="76">
        <f t="shared" si="24"/>
        <v>0.26710267154624329</v>
      </c>
      <c r="L367" s="76">
        <f t="shared" si="24"/>
        <v>0.26584016008365519</v>
      </c>
    </row>
    <row r="368" spans="2:12" x14ac:dyDescent="0.55000000000000004">
      <c r="B368" s="68" t="s">
        <v>110</v>
      </c>
      <c r="C368" s="69">
        <f>Master!F234</f>
        <v>77.852999999999994</v>
      </c>
      <c r="D368" s="69">
        <f>Master!G234</f>
        <v>109.724</v>
      </c>
      <c r="E368" s="69">
        <f>Master!H234</f>
        <v>149.29999999999998</v>
      </c>
      <c r="F368" s="69">
        <f>Master!I234</f>
        <v>130.59153510676808</v>
      </c>
      <c r="G368" s="69">
        <f>Master!J234</f>
        <v>195.43371984800001</v>
      </c>
      <c r="H368" s="69">
        <f>Master!K234</f>
        <v>247.18553863117648</v>
      </c>
      <c r="I368" s="69">
        <f>Master!L234</f>
        <v>300.29400293362113</v>
      </c>
      <c r="J368" s="69">
        <f>Master!M234</f>
        <v>349.89771468802235</v>
      </c>
      <c r="K368" s="69">
        <f>Master!N234</f>
        <v>397.70107972495867</v>
      </c>
      <c r="L368" s="69">
        <f>Master!O234</f>
        <v>453.81010466902933</v>
      </c>
    </row>
    <row r="369" spans="2:12" x14ac:dyDescent="0.55000000000000004">
      <c r="B369" s="66"/>
      <c r="C369" s="66"/>
      <c r="D369" s="66"/>
      <c r="E369" s="66"/>
      <c r="F369" s="66"/>
      <c r="G369" s="66"/>
      <c r="H369" s="66"/>
      <c r="I369" s="66"/>
      <c r="J369" s="66"/>
      <c r="K369" s="66"/>
      <c r="L369" s="66"/>
    </row>
    <row r="370" spans="2:12" hidden="1" outlineLevel="1" x14ac:dyDescent="0.55000000000000004">
      <c r="B370" s="64" t="s">
        <v>483</v>
      </c>
      <c r="C370" s="64">
        <v>2021</v>
      </c>
      <c r="D370" s="64">
        <f>C370+1</f>
        <v>2022</v>
      </c>
      <c r="E370" s="64">
        <f>D370+1</f>
        <v>2023</v>
      </c>
      <c r="F370" s="64">
        <f>E370+1</f>
        <v>2024</v>
      </c>
      <c r="G370" s="64">
        <f t="shared" ref="G370:L370" si="25">F370+1</f>
        <v>2025</v>
      </c>
      <c r="H370" s="64">
        <f t="shared" si="25"/>
        <v>2026</v>
      </c>
      <c r="I370" s="64">
        <f t="shared" si="25"/>
        <v>2027</v>
      </c>
      <c r="J370" s="64">
        <f t="shared" si="25"/>
        <v>2028</v>
      </c>
      <c r="K370" s="64">
        <f t="shared" si="25"/>
        <v>2029</v>
      </c>
      <c r="L370" s="64">
        <f t="shared" si="25"/>
        <v>2030</v>
      </c>
    </row>
    <row r="371" spans="2:12" hidden="1" outlineLevel="1" x14ac:dyDescent="0.55000000000000004">
      <c r="B371" s="68" t="s">
        <v>0</v>
      </c>
      <c r="C371" s="69">
        <v>4549.1600000000017</v>
      </c>
      <c r="D371" s="69">
        <v>7899.8040000000019</v>
      </c>
      <c r="E371" s="69">
        <v>12199.793058227851</v>
      </c>
      <c r="F371" s="69">
        <v>17725.948172307697</v>
      </c>
      <c r="G371" s="69">
        <v>24684.749204091429</v>
      </c>
      <c r="H371" s="69">
        <v>33311.060578540804</v>
      </c>
      <c r="I371" s="69">
        <v>43871.709658605905</v>
      </c>
      <c r="J371" s="69">
        <v>56669.504224176977</v>
      </c>
      <c r="K371" s="69">
        <v>72047.743572849693</v>
      </c>
      <c r="L371" s="69">
        <v>90395.28480878564</v>
      </c>
    </row>
    <row r="372" spans="2:12" hidden="1" outlineLevel="1" x14ac:dyDescent="0.55000000000000004">
      <c r="B372" s="68" t="s">
        <v>130</v>
      </c>
      <c r="C372" s="69">
        <v>190.96640000000005</v>
      </c>
      <c r="D372" s="69">
        <v>323.33050548254187</v>
      </c>
      <c r="E372" s="69">
        <v>486.52125513743744</v>
      </c>
      <c r="F372" s="69">
        <v>688.29871248170366</v>
      </c>
      <c r="G372" s="69">
        <v>932.60336443813458</v>
      </c>
      <c r="H372" s="69">
        <v>1223.5515246787588</v>
      </c>
      <c r="I372" s="69">
        <v>1565.4140735975034</v>
      </c>
      <c r="J372" s="69">
        <v>1962.5878732485976</v>
      </c>
      <c r="K372" s="69">
        <v>2419.5584623500149</v>
      </c>
      <c r="L372" s="69">
        <v>2940.8524080498532</v>
      </c>
    </row>
    <row r="373" spans="2:12" hidden="1" outlineLevel="1" x14ac:dyDescent="0.55000000000000004">
      <c r="B373" s="68" t="s">
        <v>217</v>
      </c>
      <c r="C373" s="73">
        <v>0.04</v>
      </c>
      <c r="D373" s="73">
        <v>3.9E-2</v>
      </c>
      <c r="E373" s="73">
        <v>3.7999999999999999E-2</v>
      </c>
      <c r="F373" s="73">
        <v>3.6999999999999998E-2</v>
      </c>
      <c r="G373" s="73">
        <v>3.5999999999999997E-2</v>
      </c>
      <c r="H373" s="73">
        <v>3.4999999999999996E-2</v>
      </c>
      <c r="I373" s="73">
        <v>3.3999999999999996E-2</v>
      </c>
      <c r="J373" s="73">
        <v>3.2999999999999995E-2</v>
      </c>
      <c r="K373" s="73">
        <v>3.1999999999999994E-2</v>
      </c>
      <c r="L373" s="73">
        <v>3.0999999999999993E-2</v>
      </c>
    </row>
    <row r="374" spans="2:12" hidden="1" outlineLevel="1" x14ac:dyDescent="0.55000000000000004">
      <c r="B374" s="68" t="s">
        <v>219</v>
      </c>
      <c r="C374" s="79">
        <v>1.55</v>
      </c>
      <c r="D374" s="79">
        <v>1.5</v>
      </c>
      <c r="E374" s="79">
        <v>1.4</v>
      </c>
      <c r="F374" s="79">
        <v>1.2999999999999998</v>
      </c>
      <c r="G374" s="79"/>
      <c r="H374" s="79"/>
      <c r="I374" s="79"/>
      <c r="J374" s="79"/>
      <c r="K374" s="79"/>
      <c r="L374" s="79"/>
    </row>
    <row r="375" spans="2:12" hidden="1" outlineLevel="1" x14ac:dyDescent="0.55000000000000004">
      <c r="B375" s="68" t="s">
        <v>117</v>
      </c>
      <c r="C375" s="69">
        <v>114.54051200000004</v>
      </c>
      <c r="D375" s="69">
        <v>193.93171596254186</v>
      </c>
      <c r="E375" s="69">
        <v>291.81255792812095</v>
      </c>
      <c r="F375" s="69">
        <v>412.83747788404207</v>
      </c>
      <c r="G375" s="69">
        <v>559.36995647227218</v>
      </c>
      <c r="H375" s="69">
        <v>733.87893417420901</v>
      </c>
      <c r="I375" s="69">
        <v>938.92605967261113</v>
      </c>
      <c r="J375" s="69">
        <v>1177.1485447015048</v>
      </c>
      <c r="K375" s="69">
        <v>1451.2367887309151</v>
      </c>
      <c r="L375" s="69">
        <v>1763.9057998394646</v>
      </c>
    </row>
    <row r="376" spans="2:12" hidden="1" outlineLevel="1" x14ac:dyDescent="0.55000000000000004">
      <c r="B376" s="68"/>
      <c r="C376" s="69"/>
      <c r="D376" s="69"/>
      <c r="E376" s="69"/>
      <c r="F376" s="69"/>
      <c r="G376" s="69"/>
      <c r="H376" s="69"/>
      <c r="I376" s="69"/>
      <c r="J376" s="69"/>
      <c r="K376" s="69"/>
      <c r="L376" s="69"/>
    </row>
    <row r="377" spans="2:12" hidden="1" outlineLevel="1" x14ac:dyDescent="0.55000000000000004">
      <c r="B377" s="68" t="s">
        <v>105</v>
      </c>
      <c r="C377" s="69">
        <v>106.54051200000004</v>
      </c>
      <c r="D377" s="69">
        <v>180.38669420028245</v>
      </c>
      <c r="E377" s="69">
        <v>271.43111888387284</v>
      </c>
      <c r="F377" s="69">
        <v>384.00314001175866</v>
      </c>
      <c r="G377" s="69">
        <v>520.30116261374496</v>
      </c>
      <c r="H377" s="69">
        <v>682.62168579213721</v>
      </c>
      <c r="I377" s="69">
        <v>873.34744171269767</v>
      </c>
      <c r="J377" s="69">
        <v>1094.9314479452755</v>
      </c>
      <c r="K377" s="69">
        <v>1349.8761949364043</v>
      </c>
      <c r="L377" s="69">
        <v>1640.7070629705765</v>
      </c>
    </row>
    <row r="378" spans="2:12" hidden="1" outlineLevel="1" x14ac:dyDescent="0.55000000000000004">
      <c r="B378" s="68" t="s">
        <v>3</v>
      </c>
      <c r="C378" s="69">
        <v>82.115552000000022</v>
      </c>
      <c r="D378" s="69">
        <v>135.79881230266759</v>
      </c>
      <c r="E378" s="69">
        <v>199.47371460634935</v>
      </c>
      <c r="F378" s="69">
        <v>275.31948499268145</v>
      </c>
      <c r="G378" s="69">
        <v>373.04134577525383</v>
      </c>
      <c r="H378" s="69">
        <v>489.42060987150353</v>
      </c>
      <c r="I378" s="69">
        <v>626.16562943900135</v>
      </c>
      <c r="J378" s="69">
        <v>785.03514929943913</v>
      </c>
      <c r="K378" s="69">
        <v>967.82338494000601</v>
      </c>
      <c r="L378" s="69">
        <v>1176.3409632199414</v>
      </c>
    </row>
    <row r="379" spans="2:12" hidden="1" outlineLevel="1" x14ac:dyDescent="0.55000000000000004">
      <c r="B379" s="68" t="s">
        <v>110</v>
      </c>
      <c r="C379" s="69">
        <v>69.522841280000023</v>
      </c>
      <c r="D379" s="69">
        <v>116.41094294937415</v>
      </c>
      <c r="E379" s="69">
        <v>171.30160599965092</v>
      </c>
      <c r="F379" s="69">
        <v>231.00262456131213</v>
      </c>
      <c r="G379" s="69">
        <v>313.62645785297713</v>
      </c>
      <c r="H379" s="69">
        <v>412.02512564635623</v>
      </c>
      <c r="I379" s="69">
        <v>527.64303969067566</v>
      </c>
      <c r="J379" s="69">
        <v>661.96721873267575</v>
      </c>
      <c r="K379" s="69">
        <v>816.51467196677504</v>
      </c>
      <c r="L379" s="69">
        <v>992.8162844024605</v>
      </c>
    </row>
    <row r="380" spans="2:12" hidden="1" outlineLevel="1" x14ac:dyDescent="0.55000000000000004">
      <c r="B380" s="68"/>
      <c r="C380" s="68"/>
      <c r="D380" s="68"/>
      <c r="E380" s="68"/>
      <c r="F380" s="68"/>
      <c r="G380" s="68"/>
      <c r="H380" s="68"/>
      <c r="I380" s="68"/>
      <c r="J380" s="68"/>
      <c r="K380" s="68"/>
      <c r="L380" s="68"/>
    </row>
    <row r="381" spans="2:12" collapsed="1" x14ac:dyDescent="0.55000000000000004">
      <c r="B381" s="64" t="s">
        <v>129</v>
      </c>
      <c r="C381" s="64">
        <v>2021</v>
      </c>
      <c r="D381" s="64">
        <f>C381+1</f>
        <v>2022</v>
      </c>
      <c r="E381" s="64">
        <f>D381+1</f>
        <v>2023</v>
      </c>
      <c r="F381" s="64">
        <f>E381+1</f>
        <v>2024</v>
      </c>
      <c r="G381" s="64">
        <f t="shared" ref="G381:L381" si="26">F381+1</f>
        <v>2025</v>
      </c>
      <c r="H381" s="64">
        <f t="shared" si="26"/>
        <v>2026</v>
      </c>
      <c r="I381" s="64">
        <f t="shared" si="26"/>
        <v>2027</v>
      </c>
      <c r="J381" s="64">
        <f t="shared" si="26"/>
        <v>2028</v>
      </c>
      <c r="K381" s="64">
        <f t="shared" si="26"/>
        <v>2029</v>
      </c>
      <c r="L381" s="64">
        <f t="shared" si="26"/>
        <v>2030</v>
      </c>
    </row>
    <row r="382" spans="2:12" x14ac:dyDescent="0.55000000000000004">
      <c r="B382" s="66" t="s">
        <v>0</v>
      </c>
      <c r="C382" s="76">
        <f>C359/C371-1</f>
        <v>0.32969603179488027</v>
      </c>
      <c r="D382" s="76">
        <f t="shared" ref="D382:F383" si="27">D359/D371-1</f>
        <v>0.33762812343192272</v>
      </c>
      <c r="E382" s="76">
        <f t="shared" si="27"/>
        <v>0.44895900411017053</v>
      </c>
      <c r="F382" s="76">
        <f t="shared" si="27"/>
        <v>0.45983427894394002</v>
      </c>
      <c r="G382" s="76">
        <f t="shared" ref="G382:L382" si="28">G359/G371-1</f>
        <v>0.45119702880768964</v>
      </c>
      <c r="H382" s="76">
        <f t="shared" si="28"/>
        <v>0.39635213850510809</v>
      </c>
      <c r="I382" s="76">
        <f t="shared" si="28"/>
        <v>0.35262271129124345</v>
      </c>
      <c r="J382" s="76">
        <f t="shared" si="28"/>
        <v>0.26021158968806435</v>
      </c>
      <c r="K382" s="76">
        <f t="shared" si="28"/>
        <v>0.17437845410303909</v>
      </c>
      <c r="L382" s="76">
        <f t="shared" si="28"/>
        <v>0.10278063143141281</v>
      </c>
    </row>
    <row r="383" spans="2:12" x14ac:dyDescent="0.55000000000000004">
      <c r="B383" s="68" t="s">
        <v>130</v>
      </c>
      <c r="C383" s="79">
        <f>C360/C372-1</f>
        <v>0.27823533354558672</v>
      </c>
      <c r="D383" s="79">
        <f t="shared" si="27"/>
        <v>0.29557834134712779</v>
      </c>
      <c r="E383" s="79">
        <f t="shared" si="27"/>
        <v>0.33683779101545808</v>
      </c>
      <c r="F383" s="79">
        <f t="shared" si="27"/>
        <v>0.15478018542716021</v>
      </c>
      <c r="G383" s="79">
        <f t="shared" ref="G383:L383" si="29">G360/G372-1</f>
        <v>7.1336902802132895E-2</v>
      </c>
      <c r="H383" s="79">
        <f t="shared" si="29"/>
        <v>2.7456247433712777E-2</v>
      </c>
      <c r="I383" s="79">
        <f t="shared" si="29"/>
        <v>-1.6440666994054332E-2</v>
      </c>
      <c r="J383" s="79">
        <f t="shared" si="29"/>
        <v>-8.4142919741587829E-2</v>
      </c>
      <c r="K383" s="79">
        <f t="shared" si="29"/>
        <v>-0.15412168761667311</v>
      </c>
      <c r="L383" s="79">
        <f t="shared" si="29"/>
        <v>-0.20424852089050671</v>
      </c>
    </row>
    <row r="384" spans="2:12" x14ac:dyDescent="0.55000000000000004">
      <c r="B384" s="66" t="s">
        <v>117</v>
      </c>
      <c r="C384" s="76">
        <f>C363/C375-1</f>
        <v>0.1945467818408213</v>
      </c>
      <c r="D384" s="76">
        <f>D363/D375-1</f>
        <v>9.6659197514030071E-2</v>
      </c>
      <c r="E384" s="76">
        <f>E363/E375-1</f>
        <v>1.0847518332842698E-2</v>
      </c>
      <c r="F384" s="76">
        <f>F363/F375-1</f>
        <v>-0.14577194412802086</v>
      </c>
      <c r="G384" s="76">
        <f t="shared" ref="G384:L384" si="30">G363/G375-1</f>
        <v>-0.18991050614052585</v>
      </c>
      <c r="H384" s="76">
        <f t="shared" si="30"/>
        <v>-0.22309078566291496</v>
      </c>
      <c r="I384" s="76">
        <f t="shared" si="30"/>
        <v>-0.25628335944411551</v>
      </c>
      <c r="J384" s="76">
        <f t="shared" si="30"/>
        <v>-0.30747629746197525</v>
      </c>
      <c r="K384" s="76">
        <f t="shared" si="30"/>
        <v>-0.36039061834513031</v>
      </c>
      <c r="L384" s="76">
        <f t="shared" si="30"/>
        <v>-0.39829393418291015</v>
      </c>
    </row>
    <row r="385" spans="2:28" x14ac:dyDescent="0.55000000000000004">
      <c r="B385" s="68"/>
      <c r="C385" s="69"/>
      <c r="D385" s="69"/>
      <c r="E385" s="69"/>
      <c r="F385" s="69"/>
      <c r="G385" s="69"/>
      <c r="H385" s="69"/>
      <c r="I385" s="69"/>
      <c r="J385" s="69"/>
      <c r="K385" s="69"/>
      <c r="L385" s="69"/>
    </row>
    <row r="386" spans="2:28" x14ac:dyDescent="0.55000000000000004">
      <c r="B386" s="66" t="s">
        <v>105</v>
      </c>
      <c r="C386" s="76">
        <f t="shared" ref="C386:F387" si="31">C365/C377-1</f>
        <v>0.22416344310415881</v>
      </c>
      <c r="D386" s="76">
        <f t="shared" si="31"/>
        <v>0.12037088376157801</v>
      </c>
      <c r="E386" s="76">
        <f t="shared" si="31"/>
        <v>2.0177793683525014E-2</v>
      </c>
      <c r="F386" s="76">
        <f t="shared" si="31"/>
        <v>-0.2510770869755633</v>
      </c>
      <c r="G386" s="76">
        <f t="shared" ref="G386:L386" si="32">G365/G377-1</f>
        <v>-0.2740447155594693</v>
      </c>
      <c r="H386" s="76">
        <f t="shared" si="32"/>
        <v>-0.30308368939463548</v>
      </c>
      <c r="I386" s="76">
        <f t="shared" si="32"/>
        <v>-0.34010867614691775</v>
      </c>
      <c r="J386" s="76">
        <f t="shared" si="32"/>
        <v>-0.38785133577945319</v>
      </c>
      <c r="K386" s="76">
        <f t="shared" si="32"/>
        <v>-0.43639460986647649</v>
      </c>
      <c r="L386" s="76">
        <f t="shared" si="32"/>
        <v>-0.47152992039521591</v>
      </c>
    </row>
    <row r="387" spans="2:28" x14ac:dyDescent="0.55000000000000004">
      <c r="B387" s="68" t="s">
        <v>3</v>
      </c>
      <c r="C387" s="79">
        <f t="shared" si="31"/>
        <v>0.2080537435831884</v>
      </c>
      <c r="D387" s="79">
        <f t="shared" si="31"/>
        <v>0.1272189896538074</v>
      </c>
      <c r="E387" s="79">
        <f t="shared" si="31"/>
        <v>1.4168710896210968E-2</v>
      </c>
      <c r="F387" s="79">
        <f t="shared" si="31"/>
        <v>-0.28948415547099071</v>
      </c>
      <c r="G387" s="79">
        <f t="shared" ref="G387:L387" si="33">G366/G378-1</f>
        <v>-0.2636796916862798</v>
      </c>
      <c r="H387" s="79">
        <f t="shared" si="33"/>
        <v>-0.29657961743901395</v>
      </c>
      <c r="I387" s="79">
        <f t="shared" si="33"/>
        <v>-0.33614493658135947</v>
      </c>
      <c r="J387" s="79">
        <f t="shared" si="33"/>
        <v>-0.38552409410694011</v>
      </c>
      <c r="K387" s="79">
        <f t="shared" si="33"/>
        <v>-0.4351591073984642</v>
      </c>
      <c r="L387" s="79">
        <f t="shared" si="33"/>
        <v>-0.47114324851681733</v>
      </c>
    </row>
    <row r="388" spans="2:28" x14ac:dyDescent="0.55000000000000004">
      <c r="B388" s="66" t="s">
        <v>110</v>
      </c>
      <c r="C388" s="76">
        <f>C368/C379-1</f>
        <v>0.11981902014692758</v>
      </c>
      <c r="D388" s="76">
        <f>D368/D379-1</f>
        <v>-5.7442563215747033E-2</v>
      </c>
      <c r="E388" s="76">
        <f>E368/E379-1</f>
        <v>-0.12843782678660798</v>
      </c>
      <c r="F388" s="76">
        <f>F368/F379-1</f>
        <v>-0.43467510226444717</v>
      </c>
      <c r="G388" s="76">
        <f t="shared" ref="G388:L388" si="34">G368/G379-1</f>
        <v>-0.37685831359414168</v>
      </c>
      <c r="H388" s="76">
        <f t="shared" si="34"/>
        <v>-0.40007168678509819</v>
      </c>
      <c r="I388" s="76">
        <f t="shared" si="34"/>
        <v>-0.43087659583330262</v>
      </c>
      <c r="J388" s="76">
        <f t="shared" si="34"/>
        <v>-0.47142742905321633</v>
      </c>
      <c r="K388" s="76">
        <f t="shared" si="34"/>
        <v>-0.51292843425948675</v>
      </c>
      <c r="L388" s="76">
        <f t="shared" si="34"/>
        <v>-0.54290626392962427</v>
      </c>
    </row>
    <row r="391" spans="2:28" x14ac:dyDescent="0.55000000000000004">
      <c r="B391" s="1"/>
      <c r="C391" s="1">
        <v>2019</v>
      </c>
      <c r="D391" s="1">
        <f t="shared" ref="D391:I391" si="35">C391+1</f>
        <v>2020</v>
      </c>
      <c r="E391" s="1">
        <f t="shared" si="35"/>
        <v>2021</v>
      </c>
      <c r="F391" s="1">
        <f t="shared" si="35"/>
        <v>2022</v>
      </c>
      <c r="G391" s="1">
        <f t="shared" si="35"/>
        <v>2023</v>
      </c>
      <c r="H391" s="1">
        <f t="shared" si="35"/>
        <v>2024</v>
      </c>
      <c r="I391" s="1">
        <f t="shared" si="35"/>
        <v>2025</v>
      </c>
    </row>
    <row r="392" spans="2:28" x14ac:dyDescent="0.55000000000000004">
      <c r="B392" t="s">
        <v>3</v>
      </c>
      <c r="C392" s="2">
        <f>Master!D224</f>
        <v>0.36490909090909091</v>
      </c>
      <c r="D392" s="2">
        <f>Master!E224</f>
        <v>0.40318269230769227</v>
      </c>
      <c r="E392" s="2">
        <f>Master!F224</f>
        <v>0.4063908234330193</v>
      </c>
      <c r="F392" s="2">
        <f>Master!G224</f>
        <v>0.36542134160897588</v>
      </c>
      <c r="G392" s="2">
        <f>Master!H224</f>
        <v>0.31103936039360397</v>
      </c>
      <c r="H392" s="2">
        <f>Master!I224</f>
        <v>0.24611293248547905</v>
      </c>
      <c r="I392" s="2">
        <f>Master!J224</f>
        <v>0.27491643623507755</v>
      </c>
    </row>
    <row r="393" spans="2:28" x14ac:dyDescent="0.55000000000000004">
      <c r="Y393" s="121" t="s">
        <v>229</v>
      </c>
      <c r="Z393" s="78">
        <v>2021</v>
      </c>
      <c r="AA393" s="78">
        <v>2022</v>
      </c>
      <c r="AB393" s="78">
        <v>2023</v>
      </c>
    </row>
    <row r="394" spans="2:28" x14ac:dyDescent="0.55000000000000004">
      <c r="B394" t="s">
        <v>110</v>
      </c>
      <c r="C394" s="2">
        <f>Master!D238</f>
        <v>0.32229090909090913</v>
      </c>
      <c r="D394" s="2">
        <f>Master!E238</f>
        <v>0.33927884615384613</v>
      </c>
      <c r="E394" s="2">
        <f>Master!F238</f>
        <v>0.37129864809504304</v>
      </c>
      <c r="F394" s="2">
        <f>Master!G238</f>
        <v>0.29608737168775368</v>
      </c>
      <c r="G394" s="2">
        <f>Master!H238</f>
        <v>0.24185116851168509</v>
      </c>
      <c r="H394" s="2">
        <f>Master!I238</f>
        <v>0.1718491963267712</v>
      </c>
      <c r="I394" s="2">
        <f>Master!J238</f>
        <v>0.20060776714677656</v>
      </c>
      <c r="Y394" s="122" t="s">
        <v>1</v>
      </c>
      <c r="Z394" s="128">
        <f>C360</f>
        <v>244.1</v>
      </c>
      <c r="AA394" s="128">
        <f>D360</f>
        <v>418.9</v>
      </c>
      <c r="AB394" s="128">
        <f>E360</f>
        <v>650.4</v>
      </c>
    </row>
    <row r="395" spans="2:28" x14ac:dyDescent="0.55000000000000004">
      <c r="Y395" s="124" t="s">
        <v>110</v>
      </c>
      <c r="Z395" s="129">
        <f>C368</f>
        <v>77.852999999999994</v>
      </c>
      <c r="AA395" s="129">
        <f>D368</f>
        <v>109.724</v>
      </c>
      <c r="AB395" s="129">
        <f>E368</f>
        <v>149.29999999999998</v>
      </c>
    </row>
    <row r="396" spans="2:28" x14ac:dyDescent="0.55000000000000004">
      <c r="Y396" s="122"/>
      <c r="Z396" s="123"/>
      <c r="AA396" s="123"/>
      <c r="AB396" s="125"/>
    </row>
    <row r="397" spans="2:28" x14ac:dyDescent="0.55000000000000004">
      <c r="C397" s="37" t="str">
        <f>Quarts!G2</f>
        <v>Q1 20</v>
      </c>
      <c r="D397" s="37" t="str">
        <f>Quarts!H2</f>
        <v>Q2 20</v>
      </c>
      <c r="E397" s="37" t="str">
        <f>Quarts!I2</f>
        <v>Q3 20</v>
      </c>
      <c r="F397" s="37" t="str">
        <f>Quarts!J2</f>
        <v>Q4 20</v>
      </c>
      <c r="G397" s="37" t="str">
        <f>Quarts!K2</f>
        <v>Q1 21</v>
      </c>
      <c r="H397" s="37" t="str">
        <f>Quarts!L2</f>
        <v>Q2 21</v>
      </c>
      <c r="I397" s="37" t="str">
        <f>Quarts!M2</f>
        <v>Q3 21</v>
      </c>
      <c r="Y397" s="121" t="s">
        <v>222</v>
      </c>
      <c r="Z397" s="78">
        <v>2021</v>
      </c>
      <c r="AA397" s="78">
        <v>2022</v>
      </c>
      <c r="AB397" s="78">
        <v>2023</v>
      </c>
    </row>
    <row r="398" spans="2:28" x14ac:dyDescent="0.55000000000000004">
      <c r="B398" t="s">
        <v>254</v>
      </c>
      <c r="C398" s="3">
        <f>Quarts!G35/Quarts!G3</f>
        <v>4.635497166409068E-2</v>
      </c>
      <c r="D398" s="3">
        <f>Quarts!H35/Quarts!H3</f>
        <v>5.9324712643678161E-2</v>
      </c>
      <c r="E398" s="3">
        <f>Quarts!I35/Quarts!I3</f>
        <v>5.3933566433566435E-2</v>
      </c>
      <c r="F398" s="3">
        <f>Quarts!J35/Quarts!J3</f>
        <v>4.5849431066419692E-2</v>
      </c>
      <c r="G398" s="3">
        <f>Quarts!K35/Quarts!K3</f>
        <v>4.3477697375526515E-2</v>
      </c>
      <c r="H398" s="3">
        <f>Quarts!L35/Quarts!L3</f>
        <v>4.0521978021978024E-2</v>
      </c>
      <c r="I398" s="3">
        <f>Quarts!M35/Quarts!M3</f>
        <v>3.7858719646799113E-2</v>
      </c>
      <c r="Y398" s="122" t="s">
        <v>1</v>
      </c>
      <c r="Z398" s="126">
        <v>240.25</v>
      </c>
      <c r="AA398" s="126">
        <v>405</v>
      </c>
      <c r="AB398" s="126">
        <v>639.66999999999996</v>
      </c>
    </row>
    <row r="399" spans="2:28" x14ac:dyDescent="0.55000000000000004">
      <c r="B399" t="s">
        <v>285</v>
      </c>
      <c r="C399" s="3">
        <f>Quarts!G65</f>
        <v>2.9435857805255029E-2</v>
      </c>
      <c r="D399" s="3">
        <f>Quarts!H65</f>
        <v>3.4690474668193014E-2</v>
      </c>
      <c r="E399" s="3">
        <f>Quarts!I65</f>
        <v>3.0982778655213761E-2</v>
      </c>
      <c r="F399" s="3">
        <f>Quarts!J65</f>
        <v>2.8465033045758748E-2</v>
      </c>
      <c r="G399" s="3">
        <f>Quarts!K65</f>
        <v>2.6233934550167405E-2</v>
      </c>
      <c r="H399" s="3">
        <f>Quarts!L65</f>
        <v>2.4244505494505492E-2</v>
      </c>
      <c r="I399" s="3">
        <f>Quarts!M65</f>
        <v>2.0112582781456955E-2</v>
      </c>
      <c r="Y399" s="122"/>
      <c r="Z399" s="126"/>
      <c r="AA399" s="126"/>
      <c r="AB399" s="126"/>
    </row>
    <row r="400" spans="2:28" x14ac:dyDescent="0.55000000000000004">
      <c r="C400" s="3"/>
      <c r="D400" s="3"/>
      <c r="E400" s="3"/>
      <c r="F400" s="3"/>
      <c r="G400" s="3"/>
      <c r="H400" s="3"/>
      <c r="I400" s="3"/>
      <c r="Y400" s="122"/>
      <c r="Z400" s="126"/>
      <c r="AA400" s="126"/>
      <c r="AB400" s="126"/>
    </row>
    <row r="401" spans="2:28" x14ac:dyDescent="0.55000000000000004">
      <c r="B401" t="s">
        <v>610</v>
      </c>
      <c r="C401" s="3">
        <f>Quarts!G93</f>
        <v>0.61139205334815228</v>
      </c>
      <c r="D401" s="3">
        <f>Quarts!H93</f>
        <v>0.55814967304432062</v>
      </c>
      <c r="E401" s="3">
        <f>Quarts!I93</f>
        <v>0.54719611021069692</v>
      </c>
      <c r="F401" s="3">
        <f>Quarts!J93</f>
        <v>0.59654286786136845</v>
      </c>
      <c r="G401" s="3">
        <f>Quarts!K93</f>
        <v>0.5779759538950715</v>
      </c>
      <c r="H401" s="3">
        <f>Quarts!L93</f>
        <v>0.57288135593220335</v>
      </c>
      <c r="I401" s="3">
        <f>Quarts!M93</f>
        <v>0.50209912536443158</v>
      </c>
      <c r="Y401" s="124" t="s">
        <v>110</v>
      </c>
      <c r="Z401" s="127">
        <v>76.849999999999994</v>
      </c>
      <c r="AA401" s="127">
        <v>113</v>
      </c>
      <c r="AB401" s="127">
        <v>175</v>
      </c>
    </row>
    <row r="402" spans="2:28" x14ac:dyDescent="0.55000000000000004">
      <c r="B402" t="s">
        <v>225</v>
      </c>
      <c r="C402" s="3">
        <f>Quarts!G125</f>
        <v>0.41305918310641843</v>
      </c>
      <c r="D402" s="3">
        <f>Quarts!H125</f>
        <v>0.40125938483894408</v>
      </c>
      <c r="E402" s="3">
        <f>Quarts!I125</f>
        <v>0.40625607779578604</v>
      </c>
      <c r="F402" s="3">
        <f>Quarts!J125</f>
        <v>0.39479987302686637</v>
      </c>
      <c r="G402" s="3">
        <f>Quarts!K125</f>
        <v>0.44318859300476948</v>
      </c>
      <c r="H402" s="3">
        <f>Quarts!L125</f>
        <v>0.43898305084745759</v>
      </c>
      <c r="I402" s="3">
        <f>Quarts!M125</f>
        <v>0.38338192419825079</v>
      </c>
    </row>
    <row r="403" spans="2:28" x14ac:dyDescent="0.55000000000000004">
      <c r="I403" s="3"/>
      <c r="Y403" s="121" t="s">
        <v>343</v>
      </c>
      <c r="Z403" s="78">
        <v>2021</v>
      </c>
      <c r="AA403" s="78">
        <v>2022</v>
      </c>
      <c r="AB403" s="78">
        <v>2023</v>
      </c>
    </row>
    <row r="404" spans="2:28" x14ac:dyDescent="0.55000000000000004">
      <c r="Y404" s="122" t="s">
        <v>1</v>
      </c>
      <c r="Z404" s="130">
        <f>Z394/Z398-1</f>
        <v>1.6024973985431901E-2</v>
      </c>
      <c r="AA404" s="130">
        <f>AA394/AA398-1</f>
        <v>3.43209876543209E-2</v>
      </c>
      <c r="AB404" s="130">
        <f>AB394/AB398-1</f>
        <v>1.6774274235152431E-2</v>
      </c>
    </row>
    <row r="405" spans="2:28" x14ac:dyDescent="0.55000000000000004">
      <c r="Y405" s="124" t="s">
        <v>110</v>
      </c>
      <c r="Z405" s="131">
        <f>Z395/Z401-1</f>
        <v>1.3051398828887395E-2</v>
      </c>
      <c r="AA405" s="131">
        <f>AA395/AA401-1</f>
        <v>-2.8991150442477798E-2</v>
      </c>
      <c r="AB405" s="131">
        <f>AB395/AB401-1</f>
        <v>-0.14685714285714291</v>
      </c>
    </row>
    <row r="413" spans="2:28" x14ac:dyDescent="0.55000000000000004">
      <c r="B413" t="s">
        <v>625</v>
      </c>
    </row>
    <row r="414" spans="2:28" x14ac:dyDescent="0.55000000000000004">
      <c r="B414" s="14"/>
      <c r="C414" s="136">
        <v>44562</v>
      </c>
      <c r="D414" s="43" t="s">
        <v>628</v>
      </c>
      <c r="E414" s="43" t="s">
        <v>628</v>
      </c>
    </row>
    <row r="415" spans="2:28" x14ac:dyDescent="0.55000000000000004">
      <c r="B415" t="s">
        <v>494</v>
      </c>
      <c r="C415">
        <v>47</v>
      </c>
      <c r="D415" s="4">
        <f>Valuation!G14</f>
        <v>10.678679861454727</v>
      </c>
      <c r="E415" s="2">
        <f>D415/C415-1</f>
        <v>-0.7727940455009632</v>
      </c>
    </row>
    <row r="416" spans="2:28" x14ac:dyDescent="0.55000000000000004">
      <c r="B416" t="s">
        <v>626</v>
      </c>
      <c r="C416">
        <v>20.2</v>
      </c>
      <c r="D416">
        <v>11.9</v>
      </c>
      <c r="E416" s="2">
        <f>D416/C416-1</f>
        <v>-0.41089108910891081</v>
      </c>
    </row>
    <row r="417" spans="2:5" x14ac:dyDescent="0.55000000000000004">
      <c r="B417" t="s">
        <v>627</v>
      </c>
      <c r="C417">
        <v>11.5</v>
      </c>
      <c r="D417">
        <v>6.7</v>
      </c>
      <c r="E417" s="2">
        <f>D417/C417-1</f>
        <v>-0.41739130434782612</v>
      </c>
    </row>
    <row r="418" spans="2:5" x14ac:dyDescent="0.55000000000000004">
      <c r="B418" t="s">
        <v>297</v>
      </c>
      <c r="C418">
        <v>5.3</v>
      </c>
      <c r="D418">
        <v>3.5</v>
      </c>
      <c r="E418" s="2">
        <f>D418/C418-1</f>
        <v>-0.33962264150943389</v>
      </c>
    </row>
    <row r="419" spans="2:5" x14ac:dyDescent="0.55000000000000004">
      <c r="B419" t="s">
        <v>274</v>
      </c>
      <c r="C419">
        <v>5.7</v>
      </c>
      <c r="D419">
        <v>1.4</v>
      </c>
      <c r="E419" s="2">
        <f>D419/C419-1</f>
        <v>-0.75438596491228072</v>
      </c>
    </row>
    <row r="438" spans="2:19" x14ac:dyDescent="0.55000000000000004">
      <c r="B438" s="138">
        <v>45139</v>
      </c>
    </row>
    <row r="440" spans="2:19" x14ac:dyDescent="0.55000000000000004">
      <c r="B440" s="239"/>
      <c r="C440" s="468" t="s">
        <v>779</v>
      </c>
      <c r="D440" s="468"/>
      <c r="E440" s="468"/>
      <c r="F440" s="468"/>
      <c r="G440" s="468"/>
      <c r="I440" s="468" t="s">
        <v>780</v>
      </c>
      <c r="J440" s="468"/>
      <c r="K440" s="468"/>
      <c r="L440" s="468"/>
      <c r="M440" s="468"/>
      <c r="O440" s="239" t="s">
        <v>781</v>
      </c>
      <c r="P440" s="239" t="s">
        <v>781</v>
      </c>
      <c r="Q440" s="239" t="s">
        <v>781</v>
      </c>
      <c r="R440" s="239" t="s">
        <v>781</v>
      </c>
      <c r="S440" s="239" t="s">
        <v>781</v>
      </c>
    </row>
    <row r="441" spans="2:19" x14ac:dyDescent="0.55000000000000004">
      <c r="B441" s="64" t="s">
        <v>174</v>
      </c>
      <c r="C441" s="64">
        <v>2022</v>
      </c>
      <c r="D441" s="64">
        <f>C441+1</f>
        <v>2023</v>
      </c>
      <c r="E441" s="64">
        <f>D441+1</f>
        <v>2024</v>
      </c>
      <c r="F441" s="64">
        <f>E441+1</f>
        <v>2025</v>
      </c>
      <c r="G441" s="64">
        <f>F441+1</f>
        <v>2026</v>
      </c>
      <c r="H441" s="14"/>
      <c r="I441" s="64">
        <f>C441</f>
        <v>2022</v>
      </c>
      <c r="J441" s="64">
        <f>D441</f>
        <v>2023</v>
      </c>
      <c r="K441" s="64">
        <f>E441</f>
        <v>2024</v>
      </c>
      <c r="L441" s="64">
        <f>F441</f>
        <v>2025</v>
      </c>
      <c r="M441" s="64">
        <f>G441</f>
        <v>2026</v>
      </c>
      <c r="N441" s="14"/>
      <c r="O441" s="64">
        <f>I441</f>
        <v>2022</v>
      </c>
      <c r="P441" s="64">
        <f>J441</f>
        <v>2023</v>
      </c>
      <c r="Q441" s="64">
        <f>K441</f>
        <v>2024</v>
      </c>
      <c r="R441" s="64">
        <f>L441</f>
        <v>2025</v>
      </c>
      <c r="S441" s="64">
        <f>M441</f>
        <v>2026</v>
      </c>
    </row>
    <row r="442" spans="2:19" x14ac:dyDescent="0.55000000000000004">
      <c r="B442" s="39" t="s">
        <v>49</v>
      </c>
      <c r="C442" s="240">
        <f>Master!G43</f>
        <v>10.567</v>
      </c>
      <c r="D442" s="240">
        <f>Master!H43</f>
        <v>17.677</v>
      </c>
      <c r="E442" s="240">
        <f>Master!I43</f>
        <v>25.876946768718458</v>
      </c>
      <c r="F442" s="240">
        <f>Master!J43</f>
        <v>35.822434701840464</v>
      </c>
      <c r="G442" s="240">
        <f>Master!K43</f>
        <v>46.513970674718657</v>
      </c>
      <c r="H442" s="12"/>
      <c r="I442" s="240">
        <v>10.567</v>
      </c>
      <c r="J442" s="240">
        <v>16.536757290129525</v>
      </c>
      <c r="K442" s="240">
        <v>22.341447630174116</v>
      </c>
      <c r="L442" s="240">
        <v>28.232961962470053</v>
      </c>
      <c r="M442" s="240">
        <v>35.20638435101425</v>
      </c>
      <c r="O442" s="139">
        <f>C442/I442-1</f>
        <v>0</v>
      </c>
      <c r="P442" s="139">
        <f>D442/J442-1</f>
        <v>6.8952013376350596E-2</v>
      </c>
      <c r="Q442" s="139">
        <f>E442/K442-1</f>
        <v>0.15824843569086067</v>
      </c>
      <c r="R442" s="139">
        <f>F442/L442-1</f>
        <v>0.26881602962732232</v>
      </c>
      <c r="S442" s="139">
        <f>G442/M442-1</f>
        <v>0.32117999425802002</v>
      </c>
    </row>
    <row r="443" spans="2:19" x14ac:dyDescent="0.55000000000000004">
      <c r="B443" s="241"/>
      <c r="C443" s="242"/>
      <c r="D443" s="242"/>
      <c r="E443" s="242"/>
      <c r="F443" s="242"/>
      <c r="G443" s="242"/>
      <c r="H443" s="243"/>
      <c r="I443" s="242"/>
      <c r="J443" s="242"/>
      <c r="K443" s="242"/>
      <c r="L443" s="242"/>
      <c r="M443" s="242"/>
      <c r="N443" s="244"/>
      <c r="O443" s="245"/>
      <c r="P443" s="245"/>
      <c r="Q443" s="245"/>
      <c r="R443" s="245"/>
      <c r="S443" s="245"/>
    </row>
    <row r="444" spans="2:19" x14ac:dyDescent="0.55000000000000004">
      <c r="B444" s="68" t="s">
        <v>208</v>
      </c>
      <c r="C444" s="240">
        <f>Master!G48</f>
        <v>7.9060000000000006</v>
      </c>
      <c r="D444" s="240">
        <f>Master!H48</f>
        <v>12.792</v>
      </c>
      <c r="E444" s="240">
        <f>Master!I48</f>
        <v>18.596524813333332</v>
      </c>
      <c r="F444" s="240">
        <f>Master!J48</f>
        <v>25.56475945713067</v>
      </c>
      <c r="G444" s="240">
        <f>Master!K48</f>
        <v>32.962227808833283</v>
      </c>
      <c r="H444" s="246"/>
      <c r="I444" s="240">
        <v>7.9060000000000006</v>
      </c>
      <c r="J444" s="240">
        <v>12.289759020000004</v>
      </c>
      <c r="K444" s="240">
        <v>16.491971628000005</v>
      </c>
      <c r="L444" s="240">
        <v>20.699794798848011</v>
      </c>
      <c r="M444" s="240">
        <v>25.63652478568897</v>
      </c>
      <c r="N444" s="247"/>
      <c r="O444" s="139">
        <f>C444/I444-1</f>
        <v>0</v>
      </c>
      <c r="P444" s="139">
        <f>D444/J444-1</f>
        <v>4.0866625552434588E-2</v>
      </c>
      <c r="Q444" s="139">
        <f>E444/K444-1</f>
        <v>0.12761076921574532</v>
      </c>
      <c r="R444" s="139">
        <f>F444/L444-1</f>
        <v>0.23502477708394509</v>
      </c>
      <c r="S444" s="139">
        <f>G444/M444-1</f>
        <v>0.28575257701206547</v>
      </c>
    </row>
    <row r="445" spans="2:19" x14ac:dyDescent="0.55000000000000004">
      <c r="B445" s="248"/>
      <c r="C445" s="242"/>
      <c r="D445" s="242"/>
      <c r="E445" s="242"/>
      <c r="F445" s="242"/>
      <c r="G445" s="242"/>
      <c r="H445" s="243"/>
      <c r="I445" s="242"/>
      <c r="J445" s="242"/>
      <c r="K445" s="242"/>
      <c r="L445" s="242"/>
      <c r="M445" s="242"/>
      <c r="N445" s="244"/>
      <c r="O445" s="245"/>
      <c r="P445" s="245"/>
      <c r="Q445" s="245"/>
      <c r="R445" s="245"/>
      <c r="S445" s="245"/>
    </row>
    <row r="446" spans="2:19" x14ac:dyDescent="0.55000000000000004">
      <c r="B446" s="68" t="s">
        <v>18</v>
      </c>
      <c r="C446" s="240">
        <f>Master!G72</f>
        <v>2.661</v>
      </c>
      <c r="D446" s="240">
        <f>Master!H72</f>
        <v>4.8849999999999998</v>
      </c>
      <c r="E446" s="240">
        <f>Master!I72</f>
        <v>7.2804219553851262</v>
      </c>
      <c r="F446" s="240">
        <f>Master!J72</f>
        <v>10.257675244709795</v>
      </c>
      <c r="G446" s="240">
        <f>Master!K72</f>
        <v>13.551742865885373</v>
      </c>
      <c r="H446" s="246"/>
      <c r="I446" s="240">
        <v>2.661</v>
      </c>
      <c r="J446" s="240">
        <v>4.2469982701295219</v>
      </c>
      <c r="K446" s="240">
        <v>5.8494760021741108</v>
      </c>
      <c r="L446" s="240">
        <v>7.5331671636220428</v>
      </c>
      <c r="M446" s="240">
        <v>9.5698595653252809</v>
      </c>
      <c r="N446" s="247"/>
      <c r="O446" s="139">
        <f>C446/I446-1</f>
        <v>0</v>
      </c>
      <c r="P446" s="139">
        <f>D446/J446-1</f>
        <v>0.15022415581323534</v>
      </c>
      <c r="Q446" s="139">
        <f>E446/K446-1</f>
        <v>0.24462805774041407</v>
      </c>
      <c r="R446" s="139">
        <f>F446/L446-1</f>
        <v>0.36166834239979528</v>
      </c>
      <c r="S446" s="139">
        <f>G446/M446-1</f>
        <v>0.41608586556356086</v>
      </c>
    </row>
    <row r="447" spans="2:19" x14ac:dyDescent="0.55000000000000004">
      <c r="B447" s="248"/>
      <c r="C447" s="241"/>
      <c r="D447" s="241"/>
      <c r="E447" s="241"/>
      <c r="F447" s="241"/>
      <c r="G447" s="241"/>
      <c r="H447" s="247"/>
      <c r="I447" s="241"/>
      <c r="J447" s="241"/>
      <c r="K447" s="241"/>
      <c r="L447" s="241"/>
      <c r="M447" s="241"/>
      <c r="N447" s="247"/>
      <c r="O447" s="245"/>
      <c r="P447" s="245"/>
      <c r="Q447" s="245"/>
      <c r="R447" s="245"/>
      <c r="S447" s="245"/>
    </row>
    <row r="448" spans="2:19" x14ac:dyDescent="0.55000000000000004">
      <c r="B448" s="77" t="s">
        <v>130</v>
      </c>
      <c r="C448" s="69">
        <f>Master!G98</f>
        <v>418.9</v>
      </c>
      <c r="D448" s="69">
        <f>Master!H98</f>
        <v>650.4</v>
      </c>
      <c r="E448" s="69">
        <f>Master!I98</f>
        <v>794.83371482889743</v>
      </c>
      <c r="F448" s="69">
        <f>Master!J98</f>
        <v>999.13239999999996</v>
      </c>
      <c r="G448" s="69">
        <f>Master!K98</f>
        <v>1257.1456580882355</v>
      </c>
      <c r="H448" s="247"/>
      <c r="I448" s="69">
        <v>418.9</v>
      </c>
      <c r="J448" s="69">
        <v>628.3967770249219</v>
      </c>
      <c r="K448" s="69">
        <v>815.46283850135512</v>
      </c>
      <c r="L448" s="69">
        <v>1002.270149667687</v>
      </c>
      <c r="M448" s="69">
        <v>1232.2234522854988</v>
      </c>
      <c r="N448" s="247"/>
      <c r="O448" s="139">
        <f>C448/I448-1</f>
        <v>0</v>
      </c>
      <c r="P448" s="139">
        <f>D448/J448-1</f>
        <v>3.5014856503959191E-2</v>
      </c>
      <c r="Q448" s="139">
        <f>E448/K448-1</f>
        <v>-2.52974417698415E-2</v>
      </c>
      <c r="R448" s="139">
        <f>F448/L448-1</f>
        <v>-3.1306426403373555E-3</v>
      </c>
      <c r="S448" s="139">
        <f>G448/M448-1</f>
        <v>2.0225394798736751E-2</v>
      </c>
    </row>
    <row r="449" spans="2:19" x14ac:dyDescent="0.55000000000000004">
      <c r="B449" s="248" t="s">
        <v>642</v>
      </c>
      <c r="C449" s="254">
        <f>C448/(C$442*1000)</f>
        <v>3.9642282577836661E-2</v>
      </c>
      <c r="D449" s="254">
        <f>D448/(D$442*1000)</f>
        <v>3.679357357017593E-2</v>
      </c>
      <c r="E449" s="254">
        <f>E448/(E$442*1000)</f>
        <v>3.0715900215466614E-2</v>
      </c>
      <c r="F449" s="254">
        <f>F448/(F$442*1000)</f>
        <v>2.7891247714345532E-2</v>
      </c>
      <c r="G449" s="254">
        <f>G448/(G$442*1000)</f>
        <v>2.70272702986314E-2</v>
      </c>
      <c r="H449" s="247"/>
      <c r="I449" s="254">
        <v>3.9642282577836661E-2</v>
      </c>
      <c r="J449" s="254">
        <v>3.7999999999999999E-2</v>
      </c>
      <c r="K449" s="254">
        <v>3.6499999999999998E-2</v>
      </c>
      <c r="L449" s="254">
        <v>3.5500000000000004E-2</v>
      </c>
      <c r="M449" s="254">
        <v>3.5000000000000003E-2</v>
      </c>
      <c r="N449" s="247"/>
      <c r="O449" s="245"/>
      <c r="P449" s="245"/>
      <c r="Q449" s="245"/>
      <c r="R449" s="245"/>
      <c r="S449" s="245"/>
    </row>
    <row r="450" spans="2:19" x14ac:dyDescent="0.55000000000000004">
      <c r="B450" s="248"/>
      <c r="C450" s="254"/>
      <c r="D450" s="254"/>
      <c r="E450" s="254"/>
      <c r="F450" s="254"/>
      <c r="G450" s="254"/>
      <c r="H450" s="247"/>
      <c r="I450" s="254"/>
      <c r="J450" s="254"/>
      <c r="K450" s="254"/>
      <c r="L450" s="254"/>
      <c r="M450" s="254"/>
      <c r="N450" s="247"/>
      <c r="O450" s="245"/>
      <c r="P450" s="245"/>
      <c r="Q450" s="245"/>
      <c r="R450" s="245"/>
      <c r="S450" s="245"/>
    </row>
    <row r="451" spans="2:19" x14ac:dyDescent="0.55000000000000004">
      <c r="B451" s="248" t="s">
        <v>105</v>
      </c>
      <c r="C451" s="69">
        <f>Master!G195</f>
        <v>202.09999999999997</v>
      </c>
      <c r="D451" s="69">
        <f>Master!H195</f>
        <v>276.90799999999996</v>
      </c>
      <c r="E451" s="69">
        <f>Master!I195</f>
        <v>287.58875022813692</v>
      </c>
      <c r="F451" s="69">
        <f>Master!J195</f>
        <v>377.71537850000004</v>
      </c>
      <c r="G451" s="69">
        <f>Master!K195</f>
        <v>475.73018680147061</v>
      </c>
      <c r="H451" s="247"/>
      <c r="I451" s="4">
        <v>202.09999999999997</v>
      </c>
      <c r="J451" s="4">
        <v>271.80492496852435</v>
      </c>
      <c r="K451" s="4">
        <v>350.7701193615278</v>
      </c>
      <c r="L451" s="4">
        <v>428.73097673460666</v>
      </c>
      <c r="M451" s="4">
        <v>524.15248234142803</v>
      </c>
      <c r="N451" s="247"/>
      <c r="O451" s="139">
        <f>C451/I451-1</f>
        <v>0</v>
      </c>
      <c r="P451" s="139">
        <f>D451/J451-1</f>
        <v>1.8774770295521881E-2</v>
      </c>
      <c r="Q451" s="139">
        <f>E451/K451-1</f>
        <v>-0.18012186798691321</v>
      </c>
      <c r="R451" s="139">
        <f>F451/L451-1</f>
        <v>-0.11899209761599827</v>
      </c>
      <c r="S451" s="139">
        <f>G451/M451-1</f>
        <v>-9.2382078061810202E-2</v>
      </c>
    </row>
    <row r="452" spans="2:19" x14ac:dyDescent="0.55000000000000004">
      <c r="B452" s="248" t="s">
        <v>1203</v>
      </c>
      <c r="C452" s="254">
        <f>C451/(C$442*1000)</f>
        <v>1.9125579634711835E-2</v>
      </c>
      <c r="D452" s="254">
        <f>D451/(D$442*1000)</f>
        <v>1.5664875261639417E-2</v>
      </c>
      <c r="E452" s="254">
        <f>E451/(E$442*1000)</f>
        <v>1.1113704904930698E-2</v>
      </c>
      <c r="F452" s="254">
        <f>F451/(F$442*1000)</f>
        <v>1.0544101249505354E-2</v>
      </c>
      <c r="G452" s="254">
        <f>G451/(G$442*1000)</f>
        <v>1.0227683852843812E-2</v>
      </c>
      <c r="H452" s="247"/>
      <c r="I452" s="254">
        <v>1.9125579634711835E-2</v>
      </c>
      <c r="J452" s="254">
        <v>1.6436410125627202E-2</v>
      </c>
      <c r="K452" s="254">
        <v>1.5700420365231012E-2</v>
      </c>
      <c r="L452" s="254">
        <v>1.5185476369943642E-2</v>
      </c>
      <c r="M452" s="254">
        <v>1.4887995231646897E-2</v>
      </c>
      <c r="N452" s="247"/>
      <c r="O452" s="245"/>
      <c r="P452" s="245"/>
      <c r="Q452" s="245"/>
      <c r="R452" s="245"/>
      <c r="S452" s="245"/>
    </row>
    <row r="453" spans="2:19" x14ac:dyDescent="0.55000000000000004">
      <c r="B453" s="248"/>
      <c r="C453" s="254"/>
      <c r="D453" s="254"/>
      <c r="E453" s="254"/>
      <c r="F453" s="254"/>
      <c r="G453" s="254"/>
      <c r="H453" s="247"/>
      <c r="I453" s="254"/>
      <c r="J453" s="254"/>
      <c r="K453" s="254"/>
      <c r="L453" s="254"/>
      <c r="M453" s="254"/>
      <c r="N453" s="247"/>
      <c r="O453" s="245"/>
      <c r="P453" s="245"/>
      <c r="Q453" s="245"/>
      <c r="R453" s="245"/>
      <c r="S453" s="245"/>
    </row>
    <row r="454" spans="2:19" x14ac:dyDescent="0.55000000000000004">
      <c r="B454" s="68" t="s">
        <v>131</v>
      </c>
      <c r="C454" s="69">
        <f>Master!G210</f>
        <v>127.9</v>
      </c>
      <c r="D454" s="69">
        <f>Master!H210</f>
        <v>179.7</v>
      </c>
      <c r="E454" s="69">
        <f>Master!I210</f>
        <v>168.2394188834601</v>
      </c>
      <c r="F454" s="69">
        <f>Master!J210</f>
        <v>249.29214981000001</v>
      </c>
      <c r="G454" s="69">
        <f>Master!K210</f>
        <v>313.98192328897062</v>
      </c>
      <c r="H454" s="247"/>
      <c r="I454" s="69">
        <v>127.9</v>
      </c>
      <c r="J454" s="69">
        <v>186.30300087772579</v>
      </c>
      <c r="K454" s="69">
        <v>240.21616574291335</v>
      </c>
      <c r="L454" s="69">
        <v>292.18104490030612</v>
      </c>
      <c r="M454" s="69">
        <v>355.00591842422216</v>
      </c>
      <c r="N454" s="247"/>
      <c r="O454" s="139">
        <f>C454/I454-1</f>
        <v>0</v>
      </c>
      <c r="P454" s="139">
        <f>D454/J454-1</f>
        <v>-3.544226795390959E-2</v>
      </c>
      <c r="Q454" s="139">
        <f>E454/K454-1</f>
        <v>-0.29963323507746331</v>
      </c>
      <c r="R454" s="139">
        <f>F454/L454-1</f>
        <v>-0.14678876620808867</v>
      </c>
      <c r="S454" s="139">
        <f>G454/M454-1</f>
        <v>-0.11555862312759813</v>
      </c>
    </row>
    <row r="455" spans="2:19" x14ac:dyDescent="0.55000000000000004">
      <c r="B455" s="241"/>
      <c r="C455" s="241"/>
      <c r="D455" s="241"/>
      <c r="E455" s="241"/>
      <c r="F455" s="241"/>
      <c r="G455" s="241"/>
      <c r="H455" s="244"/>
      <c r="I455" s="241"/>
      <c r="J455" s="241"/>
      <c r="K455" s="241"/>
      <c r="L455" s="241"/>
      <c r="M455" s="241"/>
      <c r="N455" s="244"/>
      <c r="O455" s="245"/>
      <c r="P455" s="245"/>
      <c r="Q455" s="245"/>
      <c r="R455" s="245"/>
      <c r="S455" s="245"/>
    </row>
    <row r="456" spans="2:19" x14ac:dyDescent="0.55000000000000004">
      <c r="B456" s="69" t="s">
        <v>3</v>
      </c>
      <c r="C456" s="69">
        <f>Master!G223</f>
        <v>153.07499999999999</v>
      </c>
      <c r="D456" s="69">
        <f>Master!H223</f>
        <v>202.3</v>
      </c>
      <c r="E456" s="69">
        <f>Master!I223</f>
        <v>195.61885639486695</v>
      </c>
      <c r="F456" s="69">
        <f>Master!J223</f>
        <v>274.67791873499999</v>
      </c>
      <c r="G456" s="69">
        <f>Master!K223</f>
        <v>344.26843262904413</v>
      </c>
      <c r="I456" s="69">
        <v>153.07499999999999</v>
      </c>
      <c r="J456" s="69">
        <v>207.37093641822423</v>
      </c>
      <c r="K456" s="69">
        <v>265.02542251294045</v>
      </c>
      <c r="L456" s="69">
        <v>320.72644789365984</v>
      </c>
      <c r="M456" s="69">
        <v>388.15038746993213</v>
      </c>
      <c r="O456" s="141">
        <f>C456/I456-1</f>
        <v>0</v>
      </c>
      <c r="P456" s="141">
        <f>D456/J456-1</f>
        <v>-2.4453457682214408E-2</v>
      </c>
      <c r="Q456" s="141">
        <f>E456/K456-1</f>
        <v>-0.26188644643962244</v>
      </c>
      <c r="R456" s="141">
        <f>F456/L456-1</f>
        <v>-0.14357571525852997</v>
      </c>
      <c r="S456" s="141">
        <f>G456/M456-1</f>
        <v>-0.11305400241108166</v>
      </c>
    </row>
    <row r="457" spans="2:19" x14ac:dyDescent="0.55000000000000004">
      <c r="B457" s="241" t="s">
        <v>106</v>
      </c>
      <c r="C457" s="253">
        <f>C456/C448</f>
        <v>0.36542134160897588</v>
      </c>
      <c r="D457" s="253">
        <f>D456/D448</f>
        <v>0.31103936039360397</v>
      </c>
      <c r="E457" s="253">
        <f>E456/E448</f>
        <v>0.24611293248547905</v>
      </c>
      <c r="F457" s="253">
        <f>F456/F448</f>
        <v>0.27491643623507755</v>
      </c>
      <c r="G457" s="253">
        <f>G456/G448</f>
        <v>0.27384927944831744</v>
      </c>
      <c r="H457" s="135"/>
      <c r="I457" s="253">
        <v>0.36542134160897588</v>
      </c>
      <c r="J457" s="253">
        <v>0.33</v>
      </c>
      <c r="K457" s="253">
        <v>0.32500000000000007</v>
      </c>
      <c r="L457" s="253">
        <v>0.32</v>
      </c>
      <c r="M457" s="253">
        <v>0.315</v>
      </c>
      <c r="N457" s="244"/>
      <c r="O457" s="249"/>
      <c r="P457" s="249"/>
      <c r="Q457" s="249"/>
      <c r="R457" s="249"/>
      <c r="S457" s="249"/>
    </row>
    <row r="458" spans="2:19" x14ac:dyDescent="0.55000000000000004">
      <c r="B458" s="71" t="s">
        <v>110</v>
      </c>
      <c r="C458" s="72">
        <f>Master!G234</f>
        <v>109.724</v>
      </c>
      <c r="D458" s="72">
        <f>Master!H234</f>
        <v>149.29999999999998</v>
      </c>
      <c r="E458" s="72">
        <f>Master!I234</f>
        <v>130.59153510676808</v>
      </c>
      <c r="F458" s="72">
        <f>Master!J234</f>
        <v>195.43371984800001</v>
      </c>
      <c r="G458" s="72">
        <f>Master!K234</f>
        <v>247.18553863117648</v>
      </c>
      <c r="H458" s="250"/>
      <c r="I458" s="72">
        <v>109.724</v>
      </c>
      <c r="J458" s="72">
        <v>158.67270078995321</v>
      </c>
      <c r="K458" s="72">
        <v>207.19454916862202</v>
      </c>
      <c r="L458" s="72">
        <v>251.14112996127244</v>
      </c>
      <c r="M458" s="72">
        <v>303.60520821331551</v>
      </c>
      <c r="N458" s="250"/>
      <c r="O458" s="140">
        <f>C458/I458-1</f>
        <v>0</v>
      </c>
      <c r="P458" s="140">
        <f>D458/J458-1</f>
        <v>-5.9069397213831754E-2</v>
      </c>
      <c r="Q458" s="140">
        <f>E458/K458-1</f>
        <v>-0.36971539246195029</v>
      </c>
      <c r="R458" s="140">
        <f>F458/L458-1</f>
        <v>-0.22181715166234561</v>
      </c>
      <c r="S458" s="140">
        <f>G458/M458-1</f>
        <v>-0.18583235088147132</v>
      </c>
    </row>
    <row r="459" spans="2:19" x14ac:dyDescent="0.55000000000000004">
      <c r="B459" s="241"/>
      <c r="C459" s="241"/>
      <c r="D459" s="241"/>
      <c r="E459" s="241"/>
      <c r="F459" s="241"/>
      <c r="G459" s="241"/>
      <c r="H459" s="244"/>
      <c r="I459" s="241"/>
      <c r="J459" s="241"/>
      <c r="K459" s="241"/>
      <c r="L459" s="241"/>
      <c r="M459" s="241"/>
      <c r="N459" s="244"/>
      <c r="O459" s="245"/>
      <c r="P459" s="245"/>
      <c r="Q459" s="245"/>
      <c r="R459" s="245"/>
      <c r="S459" s="245"/>
    </row>
    <row r="460" spans="2:19" x14ac:dyDescent="0.55000000000000004">
      <c r="B460" s="251" t="s">
        <v>782</v>
      </c>
      <c r="C460" s="252">
        <f>Valuation!C46</f>
        <v>13.519408493379151</v>
      </c>
      <c r="D460" s="72"/>
      <c r="E460" s="72"/>
      <c r="F460" s="72"/>
      <c r="G460" s="72"/>
      <c r="H460" s="14"/>
      <c r="I460" s="252">
        <v>16.935091627291353</v>
      </c>
      <c r="J460" s="72"/>
      <c r="K460" s="72"/>
      <c r="L460" s="72"/>
      <c r="M460" s="72"/>
      <c r="N460" s="14"/>
      <c r="O460" s="140">
        <f>C460/I460-1</f>
        <v>-0.2016926278927087</v>
      </c>
      <c r="P460" s="140"/>
      <c r="Q460" s="140"/>
      <c r="R460" s="140"/>
      <c r="S460" s="140"/>
    </row>
    <row r="464" spans="2:19" x14ac:dyDescent="0.55000000000000004">
      <c r="C464" s="143">
        <v>44409</v>
      </c>
      <c r="D464" s="143">
        <v>44440</v>
      </c>
      <c r="E464" s="143">
        <v>44470</v>
      </c>
      <c r="F464" s="143">
        <v>44501</v>
      </c>
      <c r="G464" s="143">
        <v>44531</v>
      </c>
      <c r="H464" s="143">
        <v>44562</v>
      </c>
      <c r="I464" s="143">
        <v>44593</v>
      </c>
      <c r="J464" s="143">
        <v>44621</v>
      </c>
      <c r="K464" s="143">
        <v>44652</v>
      </c>
      <c r="L464" s="143">
        <v>44682</v>
      </c>
    </row>
    <row r="465" spans="2:12" x14ac:dyDescent="0.55000000000000004">
      <c r="B465" t="s">
        <v>1</v>
      </c>
      <c r="C465">
        <v>316</v>
      </c>
      <c r="D465">
        <v>389</v>
      </c>
      <c r="E465">
        <v>400</v>
      </c>
      <c r="F465">
        <v>397</v>
      </c>
      <c r="G465">
        <v>410</v>
      </c>
      <c r="H465">
        <v>415</v>
      </c>
      <c r="I465">
        <v>415</v>
      </c>
      <c r="J465">
        <v>416</v>
      </c>
      <c r="K465">
        <v>416</v>
      </c>
      <c r="L465">
        <v>416</v>
      </c>
    </row>
    <row r="466" spans="2:12" x14ac:dyDescent="0.55000000000000004">
      <c r="B466" t="s">
        <v>3</v>
      </c>
      <c r="C466">
        <v>145</v>
      </c>
      <c r="D466">
        <v>167</v>
      </c>
      <c r="E466">
        <v>168</v>
      </c>
      <c r="F466">
        <v>152</v>
      </c>
      <c r="G466">
        <v>145</v>
      </c>
      <c r="H466">
        <v>152</v>
      </c>
      <c r="I466">
        <v>151</v>
      </c>
      <c r="J466">
        <v>152</v>
      </c>
      <c r="K466">
        <v>154</v>
      </c>
      <c r="L466">
        <v>154</v>
      </c>
    </row>
    <row r="467" spans="2:12" x14ac:dyDescent="0.55000000000000004">
      <c r="B467" t="s">
        <v>106</v>
      </c>
      <c r="C467" s="2">
        <f t="shared" ref="C467:L467" si="36">C466/C465</f>
        <v>0.45886075949367089</v>
      </c>
      <c r="D467" s="2">
        <f t="shared" si="36"/>
        <v>0.42930591259640105</v>
      </c>
      <c r="E467" s="2">
        <f t="shared" si="36"/>
        <v>0.42</v>
      </c>
      <c r="F467" s="2">
        <f t="shared" si="36"/>
        <v>0.38287153652392947</v>
      </c>
      <c r="G467" s="2">
        <f t="shared" si="36"/>
        <v>0.35365853658536583</v>
      </c>
      <c r="H467" s="2">
        <f t="shared" si="36"/>
        <v>0.36626506024096384</v>
      </c>
      <c r="I467" s="2">
        <f t="shared" si="36"/>
        <v>0.363855421686747</v>
      </c>
      <c r="J467" s="2">
        <f t="shared" si="36"/>
        <v>0.36538461538461536</v>
      </c>
      <c r="K467" s="2">
        <f t="shared" si="36"/>
        <v>0.37019230769230771</v>
      </c>
      <c r="L467" s="2">
        <f t="shared" si="36"/>
        <v>0.37019230769230771</v>
      </c>
    </row>
    <row r="492" spans="2:12" x14ac:dyDescent="0.55000000000000004">
      <c r="B492" s="1"/>
      <c r="C492" s="1"/>
      <c r="D492" s="5" t="str">
        <f>Quarts!K2</f>
        <v>Q1 21</v>
      </c>
      <c r="E492" s="5" t="str">
        <f>Quarts!L2</f>
        <v>Q2 21</v>
      </c>
      <c r="F492" s="5" t="str">
        <f>Quarts!M2</f>
        <v>Q3 21</v>
      </c>
      <c r="G492" s="5" t="str">
        <f>Quarts!N2</f>
        <v>Q4 21</v>
      </c>
      <c r="H492" s="5" t="str">
        <f>Quarts!O2</f>
        <v>Q1 22</v>
      </c>
      <c r="I492" s="5" t="str">
        <f>Quarts!P2</f>
        <v>Q2 22</v>
      </c>
      <c r="J492" s="5" t="str">
        <f>Quarts!Q2</f>
        <v>Q3 22</v>
      </c>
      <c r="K492" s="5" t="str">
        <f>Quarts!R2</f>
        <v>Q4 22</v>
      </c>
    </row>
    <row r="493" spans="2:12" x14ac:dyDescent="0.55000000000000004">
      <c r="B493" t="s">
        <v>1201</v>
      </c>
      <c r="D493" s="9">
        <f>Quarts!K3</f>
        <v>925.9</v>
      </c>
      <c r="E493" s="9">
        <f>Quarts!L3</f>
        <v>1456</v>
      </c>
      <c r="F493" s="9">
        <f>Quarts!M3</f>
        <v>1812</v>
      </c>
      <c r="G493" s="9">
        <f>Quarts!N3</f>
        <v>1856</v>
      </c>
      <c r="H493" s="9">
        <f>Quarts!O3</f>
        <v>2104</v>
      </c>
      <c r="I493" s="9">
        <f>Quarts!P3</f>
        <v>2433</v>
      </c>
      <c r="J493" s="9">
        <f>Quarts!Q3</f>
        <v>2734</v>
      </c>
      <c r="K493" s="9">
        <f>Quarts!R3</f>
        <v>3296</v>
      </c>
    </row>
    <row r="494" spans="2:12" x14ac:dyDescent="0.55000000000000004">
      <c r="B494" t="s">
        <v>75</v>
      </c>
      <c r="D494">
        <f>D498/D502</f>
        <v>103</v>
      </c>
      <c r="E494">
        <f t="shared" ref="E494:K494" si="37">E498/E502</f>
        <v>111.99999999999999</v>
      </c>
      <c r="F494">
        <f t="shared" si="37"/>
        <v>136</v>
      </c>
      <c r="G494">
        <f t="shared" si="37"/>
        <v>151</v>
      </c>
      <c r="H494">
        <f t="shared" si="37"/>
        <v>211</v>
      </c>
      <c r="I494">
        <f t="shared" si="37"/>
        <v>231.99999999999997</v>
      </c>
      <c r="J494">
        <f t="shared" si="37"/>
        <v>191</v>
      </c>
      <c r="K494">
        <f t="shared" si="37"/>
        <v>141.99999999999997</v>
      </c>
      <c r="L494" s="2"/>
    </row>
    <row r="495" spans="2:12" x14ac:dyDescent="0.55000000000000004">
      <c r="B495" t="s">
        <v>1202</v>
      </c>
      <c r="D495" s="9">
        <f>D493-D494</f>
        <v>822.9</v>
      </c>
      <c r="E495" s="9">
        <f t="shared" ref="E495:K495" si="38">E493-E494</f>
        <v>1344</v>
      </c>
      <c r="F495" s="9">
        <f t="shared" si="38"/>
        <v>1676</v>
      </c>
      <c r="G495" s="9">
        <f t="shared" si="38"/>
        <v>1705</v>
      </c>
      <c r="H495" s="9">
        <f t="shared" si="38"/>
        <v>1893</v>
      </c>
      <c r="I495" s="9">
        <f t="shared" si="38"/>
        <v>2201</v>
      </c>
      <c r="J495" s="9">
        <f t="shared" si="38"/>
        <v>2543</v>
      </c>
      <c r="K495" s="9">
        <f t="shared" si="38"/>
        <v>3154</v>
      </c>
    </row>
    <row r="497" spans="2:12" x14ac:dyDescent="0.55000000000000004">
      <c r="B497" t="s">
        <v>1</v>
      </c>
      <c r="D497" s="4">
        <f>Quarts!K35</f>
        <v>40.256</v>
      </c>
      <c r="E497" s="4">
        <f>Quarts!L35</f>
        <v>59</v>
      </c>
      <c r="F497" s="4">
        <f>Quarts!M35</f>
        <v>68.599999999999994</v>
      </c>
      <c r="G497" s="4">
        <f>Quarts!N35</f>
        <v>76.3</v>
      </c>
      <c r="H497" s="4">
        <f>Quarts!O35</f>
        <v>87.5</v>
      </c>
      <c r="I497" s="4">
        <f>Quarts!P35</f>
        <v>101.2</v>
      </c>
      <c r="J497" s="4">
        <f>Quarts!Q35</f>
        <v>111.9</v>
      </c>
      <c r="K497" s="4">
        <f>Quarts!R35</f>
        <v>118.4</v>
      </c>
    </row>
    <row r="498" spans="2:12" x14ac:dyDescent="0.55000000000000004">
      <c r="B498" t="str">
        <f>B494</f>
        <v>Argentina</v>
      </c>
      <c r="D498">
        <f>Quarts!K25</f>
        <v>10.3</v>
      </c>
      <c r="E498">
        <f>Quarts!L25</f>
        <v>11.2</v>
      </c>
      <c r="F498">
        <f>Quarts!M25</f>
        <v>13.6</v>
      </c>
      <c r="G498">
        <f>Quarts!N25</f>
        <v>15.1</v>
      </c>
      <c r="H498">
        <f>Quarts!O25</f>
        <v>21.1</v>
      </c>
      <c r="I498">
        <f>Quarts!P25</f>
        <v>23.2</v>
      </c>
      <c r="J498">
        <f>Quarts!Q25</f>
        <v>19.100000000000001</v>
      </c>
      <c r="K498">
        <f>Quarts!R25</f>
        <v>14.2</v>
      </c>
      <c r="L498" s="2"/>
    </row>
    <row r="499" spans="2:12" x14ac:dyDescent="0.55000000000000004">
      <c r="B499" t="str">
        <f>B495</f>
        <v>Rest of Group</v>
      </c>
      <c r="D499" s="4">
        <f>D497-D498</f>
        <v>29.956</v>
      </c>
      <c r="E499" s="4">
        <f t="shared" ref="E499:K499" si="39">E497-E498</f>
        <v>47.8</v>
      </c>
      <c r="F499" s="4">
        <f t="shared" si="39"/>
        <v>54.999999999999993</v>
      </c>
      <c r="G499" s="4">
        <f t="shared" si="39"/>
        <v>61.199999999999996</v>
      </c>
      <c r="H499" s="4">
        <f t="shared" si="39"/>
        <v>66.400000000000006</v>
      </c>
      <c r="I499" s="4">
        <f t="shared" si="39"/>
        <v>78</v>
      </c>
      <c r="J499" s="4">
        <f t="shared" si="39"/>
        <v>92.800000000000011</v>
      </c>
      <c r="K499" s="4">
        <f t="shared" si="39"/>
        <v>104.2</v>
      </c>
    </row>
    <row r="501" spans="2:12" x14ac:dyDescent="0.55000000000000004">
      <c r="B501" t="s">
        <v>217</v>
      </c>
      <c r="D501" s="3">
        <f>D497/D493</f>
        <v>4.3477697375526515E-2</v>
      </c>
      <c r="E501" s="3">
        <f t="shared" ref="E501:K503" si="40">E497/E493</f>
        <v>4.0521978021978024E-2</v>
      </c>
      <c r="F501" s="3">
        <f t="shared" si="40"/>
        <v>3.7858719646799113E-2</v>
      </c>
      <c r="G501" s="3">
        <f t="shared" si="40"/>
        <v>4.1109913793103449E-2</v>
      </c>
      <c r="H501" s="3">
        <f t="shared" si="40"/>
        <v>4.1587452471482891E-2</v>
      </c>
      <c r="I501" s="3">
        <f t="shared" si="40"/>
        <v>4.1594739005343197E-2</v>
      </c>
      <c r="J501" s="3">
        <f t="shared" si="40"/>
        <v>4.0929041697147041E-2</v>
      </c>
      <c r="K501" s="3">
        <f t="shared" si="40"/>
        <v>3.5922330097087382E-2</v>
      </c>
    </row>
    <row r="502" spans="2:12" x14ac:dyDescent="0.55000000000000004">
      <c r="B502" t="str">
        <f>B498</f>
        <v>Argentina</v>
      </c>
      <c r="D502" s="3">
        <v>0.1</v>
      </c>
      <c r="E502" s="3">
        <v>0.1</v>
      </c>
      <c r="F502" s="3">
        <v>0.1</v>
      </c>
      <c r="G502" s="3">
        <v>0.1</v>
      </c>
      <c r="H502" s="3">
        <v>0.1</v>
      </c>
      <c r="I502" s="3">
        <v>0.1</v>
      </c>
      <c r="J502" s="3">
        <v>0.1</v>
      </c>
      <c r="K502" s="3">
        <v>0.1</v>
      </c>
    </row>
    <row r="503" spans="2:12" x14ac:dyDescent="0.55000000000000004">
      <c r="B503" t="str">
        <f>B499</f>
        <v>Rest of Group</v>
      </c>
      <c r="D503" s="3">
        <f>D499/D495</f>
        <v>3.6402965123344268E-2</v>
      </c>
      <c r="E503" s="3">
        <f t="shared" si="40"/>
        <v>3.5565476190476189E-2</v>
      </c>
      <c r="F503" s="3">
        <f t="shared" si="40"/>
        <v>3.2816229116945102E-2</v>
      </c>
      <c r="G503" s="3">
        <f t="shared" si="40"/>
        <v>3.5894428152492663E-2</v>
      </c>
      <c r="H503" s="3">
        <f t="shared" si="40"/>
        <v>3.5076597992604333E-2</v>
      </c>
      <c r="I503" s="3">
        <f t="shared" si="40"/>
        <v>3.543843707405725E-2</v>
      </c>
      <c r="J503" s="3">
        <f t="shared" si="40"/>
        <v>3.6492331891466778E-2</v>
      </c>
      <c r="K503" s="3">
        <f t="shared" si="40"/>
        <v>3.3037412809131264E-2</v>
      </c>
    </row>
    <row r="505" spans="2:12" x14ac:dyDescent="0.55000000000000004">
      <c r="B505" s="1" t="s">
        <v>2</v>
      </c>
      <c r="C505" s="1"/>
      <c r="D505" s="5" t="str">
        <f>Quarts!S2</f>
        <v>Q1 23</v>
      </c>
      <c r="E505" s="5" t="s">
        <v>811</v>
      </c>
    </row>
    <row r="506" spans="2:12" x14ac:dyDescent="0.55000000000000004">
      <c r="B506" s="226" t="s">
        <v>0</v>
      </c>
      <c r="C506" s="226"/>
      <c r="D506" s="277">
        <f>Quarts!S3</f>
        <v>3574</v>
      </c>
      <c r="E506" s="226"/>
    </row>
    <row r="507" spans="2:12" x14ac:dyDescent="0.55000000000000004">
      <c r="B507" t="str">
        <f>B511</f>
        <v xml:space="preserve"> Nigeria</v>
      </c>
      <c r="D507" s="62">
        <f>D523/D531</f>
        <v>126.3044660194173</v>
      </c>
      <c r="E507" s="2">
        <f>D507/D506</f>
        <v>3.5339805825242668E-2</v>
      </c>
    </row>
    <row r="508" spans="2:12" x14ac:dyDescent="0.55000000000000004">
      <c r="B508" s="226" t="str">
        <f>B512</f>
        <v xml:space="preserve"> Other</v>
      </c>
      <c r="C508" s="226"/>
      <c r="D508" s="277">
        <f>D524/D532</f>
        <v>3447.6955339805822</v>
      </c>
      <c r="E508" s="230">
        <f>D508/D506</f>
        <v>0.96466019417475724</v>
      </c>
    </row>
    <row r="509" spans="2:12" x14ac:dyDescent="0.55000000000000004">
      <c r="D509" s="37"/>
    </row>
    <row r="510" spans="2:12" x14ac:dyDescent="0.55000000000000004">
      <c r="B510" s="226" t="s">
        <v>1</v>
      </c>
      <c r="C510" s="226"/>
      <c r="D510" s="226">
        <f>Quarts!S35</f>
        <v>137.30000000000001</v>
      </c>
      <c r="E510" s="226"/>
    </row>
    <row r="511" spans="2:12" x14ac:dyDescent="0.55000000000000004">
      <c r="B511" s="6" t="s">
        <v>1286</v>
      </c>
      <c r="D511">
        <f>Quarts!S31</f>
        <v>26.9</v>
      </c>
      <c r="E511" s="2">
        <f>D511/D510</f>
        <v>0.19592134013109974</v>
      </c>
    </row>
    <row r="512" spans="2:12" x14ac:dyDescent="0.55000000000000004">
      <c r="B512" s="267" t="s">
        <v>1287</v>
      </c>
      <c r="C512" s="226"/>
      <c r="D512" s="226">
        <f>D510-D511</f>
        <v>110.4</v>
      </c>
      <c r="E512" s="230">
        <f>D512/D510</f>
        <v>0.80407865986890015</v>
      </c>
    </row>
    <row r="514" spans="2:5" x14ac:dyDescent="0.55000000000000004">
      <c r="B514" s="226" t="s">
        <v>1290</v>
      </c>
      <c r="C514" s="226"/>
      <c r="D514" s="268">
        <f>D510/D506</f>
        <v>3.841634023503078E-2</v>
      </c>
      <c r="E514" s="226"/>
    </row>
    <row r="515" spans="2:5" x14ac:dyDescent="0.55000000000000004">
      <c r="B515" t="str">
        <f>B511</f>
        <v xml:space="preserve"> Nigeria</v>
      </c>
      <c r="D515" s="3">
        <f>D511/D507</f>
        <v>0.21297742548442072</v>
      </c>
    </row>
    <row r="516" spans="2:5" x14ac:dyDescent="0.55000000000000004">
      <c r="B516" s="226" t="str">
        <f>B512</f>
        <v xml:space="preserve"> Other</v>
      </c>
      <c r="C516" s="226"/>
      <c r="D516" s="268">
        <f>D512/D508</f>
        <v>3.2021389044332528E-2</v>
      </c>
      <c r="E516" s="226"/>
    </row>
    <row r="518" spans="2:5" x14ac:dyDescent="0.55000000000000004">
      <c r="B518" s="226" t="s">
        <v>1292</v>
      </c>
      <c r="C518" s="226"/>
      <c r="D518" s="228">
        <f>D510-D522</f>
        <v>75.5</v>
      </c>
      <c r="E518" s="226"/>
    </row>
    <row r="519" spans="2:5" x14ac:dyDescent="0.55000000000000004">
      <c r="B519" t="str">
        <f>B515</f>
        <v xml:space="preserve"> Nigeria</v>
      </c>
      <c r="D519" s="9">
        <f>D511-D523</f>
        <v>24.716000000000001</v>
      </c>
    </row>
    <row r="520" spans="2:5" x14ac:dyDescent="0.55000000000000004">
      <c r="B520" s="226" t="str">
        <f>B516</f>
        <v xml:space="preserve"> Other</v>
      </c>
      <c r="C520" s="226"/>
      <c r="D520" s="228">
        <f>D512-D524</f>
        <v>50.783999999999999</v>
      </c>
      <c r="E520" s="226"/>
    </row>
    <row r="521" spans="2:5" ht="14.7" thickBot="1" x14ac:dyDescent="0.6"/>
    <row r="522" spans="2:5" x14ac:dyDescent="0.55000000000000004">
      <c r="B522" s="276" t="s">
        <v>105</v>
      </c>
      <c r="C522" s="270"/>
      <c r="D522" s="270">
        <f>Quarts!S79</f>
        <v>61.800000000000004</v>
      </c>
      <c r="E522" s="271"/>
    </row>
    <row r="523" spans="2:5" x14ac:dyDescent="0.55000000000000004">
      <c r="B523" s="260" t="str">
        <f>B511</f>
        <v xml:space="preserve"> Nigeria</v>
      </c>
      <c r="D523" s="4">
        <f>D522-D524</f>
        <v>2.1839999999999975</v>
      </c>
      <c r="E523" s="263">
        <f>D523/D522</f>
        <v>3.5339805825242675E-2</v>
      </c>
    </row>
    <row r="524" spans="2:5" ht="14.7" thickBot="1" x14ac:dyDescent="0.6">
      <c r="B524" s="272" t="str">
        <f>B512</f>
        <v xml:space="preserve"> Other</v>
      </c>
      <c r="C524" s="273"/>
      <c r="D524" s="274">
        <f>D528*D512</f>
        <v>59.616000000000007</v>
      </c>
      <c r="E524" s="275">
        <f>D524/D522</f>
        <v>0.96466019417475735</v>
      </c>
    </row>
    <row r="526" spans="2:5" x14ac:dyDescent="0.55000000000000004">
      <c r="B526" s="226" t="s">
        <v>610</v>
      </c>
      <c r="C526" s="226"/>
      <c r="D526" s="230">
        <f>D522/D510</f>
        <v>0.45010924981791695</v>
      </c>
      <c r="E526" s="226"/>
    </row>
    <row r="527" spans="2:5" ht="14.7" thickBot="1" x14ac:dyDescent="0.6">
      <c r="B527" t="str">
        <f>B523</f>
        <v xml:space="preserve"> Nigeria</v>
      </c>
      <c r="D527" s="2">
        <f>D523/D511</f>
        <v>8.1189591078066822E-2</v>
      </c>
    </row>
    <row r="528" spans="2:5" ht="14.7" thickBot="1" x14ac:dyDescent="0.6">
      <c r="B528" s="226" t="str">
        <f>B524</f>
        <v xml:space="preserve"> Other</v>
      </c>
      <c r="C528" s="226"/>
      <c r="D528" s="269">
        <v>0.54</v>
      </c>
      <c r="E528" s="226"/>
    </row>
    <row r="530" spans="2:7" x14ac:dyDescent="0.55000000000000004">
      <c r="B530" s="226" t="s">
        <v>1291</v>
      </c>
      <c r="C530" s="226"/>
      <c r="D530" s="268">
        <f>D522/D506</f>
        <v>1.7291550083939566E-2</v>
      </c>
      <c r="E530" s="226"/>
    </row>
    <row r="531" spans="2:7" x14ac:dyDescent="0.55000000000000004">
      <c r="B531" t="str">
        <f>B527</f>
        <v xml:space="preserve"> Nigeria</v>
      </c>
      <c r="D531" s="3">
        <f>D530</f>
        <v>1.7291550083939566E-2</v>
      </c>
    </row>
    <row r="532" spans="2:7" x14ac:dyDescent="0.55000000000000004">
      <c r="B532" s="226" t="str">
        <f>B528</f>
        <v xml:space="preserve"> Other</v>
      </c>
      <c r="C532" s="226"/>
      <c r="D532" s="268">
        <f>D531</f>
        <v>1.7291550083939566E-2</v>
      </c>
      <c r="E532" s="226"/>
    </row>
    <row r="537" spans="2:7" x14ac:dyDescent="0.55000000000000004">
      <c r="C537">
        <v>2022</v>
      </c>
      <c r="D537">
        <f>C537+1</f>
        <v>2023</v>
      </c>
      <c r="E537">
        <f>D537+1</f>
        <v>2024</v>
      </c>
      <c r="F537">
        <f>E537+1</f>
        <v>2025</v>
      </c>
      <c r="G537">
        <f>F537+1</f>
        <v>2026</v>
      </c>
    </row>
    <row r="538" spans="2:7" x14ac:dyDescent="0.55000000000000004">
      <c r="B538" t="s">
        <v>1415</v>
      </c>
      <c r="C538" s="2">
        <f>Master!G225</f>
        <v>0.75742206828302827</v>
      </c>
      <c r="D538" s="2">
        <f>Master!H225</f>
        <v>0.73056755312233679</v>
      </c>
      <c r="E538" s="2">
        <f>Master!I225</f>
        <v>0.68020343716396225</v>
      </c>
      <c r="F538" s="2">
        <f>Master!J225</f>
        <v>0.72720872479646725</v>
      </c>
      <c r="G538" s="2">
        <f>Master!K225</f>
        <v>0.7236632069612865</v>
      </c>
    </row>
    <row r="539" spans="2:7" x14ac:dyDescent="0.55000000000000004">
      <c r="B539" t="s">
        <v>1416</v>
      </c>
      <c r="D539" s="2">
        <f>'Guide-Cons'!H26</f>
        <v>0.73056755312233679</v>
      </c>
      <c r="E539" s="2">
        <f>'Guide-Cons'!I26</f>
        <v>0.67048710601719197</v>
      </c>
      <c r="F539" s="2">
        <f>'Guide-Cons'!J26</f>
        <v>0.69313304721030045</v>
      </c>
      <c r="G539" s="2">
        <f>'Guide-Cons'!K26</f>
        <v>0.71476510067114096</v>
      </c>
    </row>
    <row r="540" spans="2:7" x14ac:dyDescent="0.55000000000000004">
      <c r="B540" t="s">
        <v>1417</v>
      </c>
      <c r="D540" s="2">
        <v>0.75</v>
      </c>
      <c r="E540" s="2">
        <v>0.75</v>
      </c>
      <c r="F540" s="2">
        <v>0.75</v>
      </c>
      <c r="G540" s="2">
        <v>0.75</v>
      </c>
    </row>
    <row r="547" spans="2:12" x14ac:dyDescent="0.55000000000000004">
      <c r="B547" s="1"/>
      <c r="C547" s="5" t="s">
        <v>390</v>
      </c>
      <c r="D547" s="5" t="s">
        <v>273</v>
      </c>
    </row>
    <row r="548" spans="2:12" x14ac:dyDescent="0.55000000000000004">
      <c r="B548" s="294"/>
      <c r="C548" s="295" t="s">
        <v>1567</v>
      </c>
      <c r="D548" s="295" t="s">
        <v>1568</v>
      </c>
    </row>
    <row r="549" spans="2:12" x14ac:dyDescent="0.55000000000000004">
      <c r="B549" t="s">
        <v>1564</v>
      </c>
      <c r="C549" s="37" t="s">
        <v>1565</v>
      </c>
      <c r="D549" s="37" t="s">
        <v>1569</v>
      </c>
    </row>
    <row r="550" spans="2:12" x14ac:dyDescent="0.55000000000000004">
      <c r="B550" s="226" t="s">
        <v>225</v>
      </c>
      <c r="C550" s="231" t="s">
        <v>1566</v>
      </c>
      <c r="D550" s="231" t="s">
        <v>1357</v>
      </c>
    </row>
    <row r="551" spans="2:12" x14ac:dyDescent="0.55000000000000004">
      <c r="B551" t="s">
        <v>1572</v>
      </c>
      <c r="C551" s="63">
        <v>0.75</v>
      </c>
      <c r="D551" s="63">
        <v>1.05</v>
      </c>
    </row>
    <row r="552" spans="2:12" x14ac:dyDescent="0.55000000000000004">
      <c r="B552" s="226"/>
      <c r="C552" s="231"/>
      <c r="D552" s="231"/>
    </row>
    <row r="553" spans="2:12" x14ac:dyDescent="0.55000000000000004">
      <c r="C553" s="256" t="s">
        <v>1570</v>
      </c>
    </row>
    <row r="554" spans="2:12" x14ac:dyDescent="0.55000000000000004">
      <c r="B554" s="235" t="s">
        <v>225</v>
      </c>
      <c r="C554" s="296" t="s">
        <v>1571</v>
      </c>
      <c r="D554" s="235"/>
    </row>
    <row r="557" spans="2:12" x14ac:dyDescent="0.55000000000000004">
      <c r="B557" s="1" t="s">
        <v>1587</v>
      </c>
      <c r="C557" s="5" t="s">
        <v>622</v>
      </c>
      <c r="D557" s="5" t="str">
        <f>Quarts!O2</f>
        <v>Q1 22</v>
      </c>
      <c r="E557" s="5" t="str">
        <f>Quarts!P2</f>
        <v>Q2 22</v>
      </c>
      <c r="F557" s="5" t="str">
        <f>Quarts!Q2</f>
        <v>Q3 22</v>
      </c>
      <c r="G557" s="5" t="str">
        <f>Quarts!R2</f>
        <v>Q4 22</v>
      </c>
      <c r="H557" s="5" t="str">
        <f>Quarts!S2</f>
        <v>Q1 23</v>
      </c>
      <c r="I557" s="5" t="str">
        <f>Quarts!T2</f>
        <v>Q2 23</v>
      </c>
      <c r="J557" s="5" t="str">
        <f>Quarts!U2</f>
        <v>Q3 23</v>
      </c>
    </row>
    <row r="558" spans="2:12" x14ac:dyDescent="0.55000000000000004">
      <c r="B558" t="s">
        <v>333</v>
      </c>
      <c r="C558">
        <f>Quarts!N173</f>
        <v>535</v>
      </c>
      <c r="D558">
        <f>Quarts!O173</f>
        <v>562</v>
      </c>
      <c r="E558">
        <f>Quarts!P173</f>
        <v>632</v>
      </c>
      <c r="F558">
        <f>Quarts!Q173</f>
        <v>712</v>
      </c>
      <c r="G558">
        <f>Quarts!R173</f>
        <v>726</v>
      </c>
      <c r="H558">
        <f>Quarts!S173</f>
        <v>763</v>
      </c>
      <c r="I558">
        <f>Quarts!T173</f>
        <v>806</v>
      </c>
      <c r="J558">
        <f>Quarts!U173</f>
        <v>867</v>
      </c>
    </row>
    <row r="560" spans="2:12" x14ac:dyDescent="0.55000000000000004">
      <c r="B560" t="s">
        <v>1575</v>
      </c>
      <c r="D560" s="4">
        <f>Quarts!O102</f>
        <v>0</v>
      </c>
      <c r="E560" s="4">
        <f>Quarts!P102</f>
        <v>0</v>
      </c>
      <c r="F560" s="4">
        <f>Quarts!Q102</f>
        <v>0</v>
      </c>
      <c r="G560" s="4">
        <f>Quarts!R102</f>
        <v>0</v>
      </c>
      <c r="H560" s="4">
        <f>Quarts!S102</f>
        <v>2.29</v>
      </c>
      <c r="I560" s="4">
        <f>Quarts!T102</f>
        <v>2.64</v>
      </c>
      <c r="J560" s="4">
        <f>Quarts!U102</f>
        <v>3.6960000000000002</v>
      </c>
      <c r="L560">
        <f>15000000</f>
        <v>15000000</v>
      </c>
    </row>
    <row r="561" spans="2:12" x14ac:dyDescent="0.55000000000000004">
      <c r="B561" s="14" t="s">
        <v>1576</v>
      </c>
      <c r="C561" s="14"/>
      <c r="D561" s="23">
        <f>Quarts!O117</f>
        <v>2.0339999999999998</v>
      </c>
      <c r="E561" s="23">
        <f>Quarts!P117</f>
        <v>1.2410000000000001</v>
      </c>
      <c r="F561" s="23">
        <f>Quarts!Q117</f>
        <v>1.599</v>
      </c>
      <c r="G561" s="23">
        <f>Quarts!R117</f>
        <v>3.81</v>
      </c>
      <c r="H561" s="23">
        <f>Quarts!S117</f>
        <v>2.3290000000000002</v>
      </c>
      <c r="I561" s="23">
        <f>Quarts!T117</f>
        <v>1.421</v>
      </c>
      <c r="J561" s="23">
        <f>Quarts!U117</f>
        <v>3.3220000000000001</v>
      </c>
      <c r="L561">
        <f>L560/J558</f>
        <v>17301.038062283737</v>
      </c>
    </row>
    <row r="562" spans="2:12" x14ac:dyDescent="0.55000000000000004">
      <c r="B562" t="s">
        <v>65</v>
      </c>
      <c r="D562" s="4">
        <f t="shared" ref="D562:J562" si="41">D560+D561</f>
        <v>2.0339999999999998</v>
      </c>
      <c r="E562" s="4">
        <f t="shared" si="41"/>
        <v>1.2410000000000001</v>
      </c>
      <c r="F562" s="4">
        <f t="shared" si="41"/>
        <v>1.599</v>
      </c>
      <c r="G562" s="4">
        <f t="shared" si="41"/>
        <v>3.81</v>
      </c>
      <c r="H562" s="4">
        <f t="shared" si="41"/>
        <v>4.6189999999999998</v>
      </c>
      <c r="I562" s="4">
        <f t="shared" si="41"/>
        <v>4.0609999999999999</v>
      </c>
      <c r="J562" s="4">
        <f t="shared" si="41"/>
        <v>7.0180000000000007</v>
      </c>
    </row>
    <row r="564" spans="2:12" x14ac:dyDescent="0.55000000000000004">
      <c r="B564" t="s">
        <v>1577</v>
      </c>
      <c r="D564" s="2">
        <f>D562/Quarts!O63</f>
        <v>4.4121475054229926E-2</v>
      </c>
      <c r="E564" s="2">
        <f>E562/Quarts!P63</f>
        <v>2.3819577735124761E-2</v>
      </c>
      <c r="F564" s="2">
        <f>F562/Quarts!Q63</f>
        <v>2.8240904274108088E-2</v>
      </c>
      <c r="G564" s="2">
        <f>G562/Quarts!R63</f>
        <v>6.5770166928481422E-2</v>
      </c>
      <c r="H564" s="2">
        <f>H562/Quarts!S63</f>
        <v>7.0735068912710544E-2</v>
      </c>
      <c r="I564" s="2">
        <f>I562/Quarts!T63</f>
        <v>5.4364123159303869E-2</v>
      </c>
      <c r="J564" s="2">
        <f>J562/Quarts!U63</f>
        <v>8.9002181301679098E-2</v>
      </c>
    </row>
    <row r="565" spans="2:12" x14ac:dyDescent="0.55000000000000004">
      <c r="B565" t="s">
        <v>1585</v>
      </c>
      <c r="D565" s="13">
        <f t="shared" ref="D565:J565" si="42">D562*4*1000000/AVERAGE(C558,D558)</f>
        <v>14833.181403828621</v>
      </c>
      <c r="E565" s="13">
        <f t="shared" si="42"/>
        <v>8314.9078726968182</v>
      </c>
      <c r="F565" s="13">
        <f t="shared" si="42"/>
        <v>9517.8571428571431</v>
      </c>
      <c r="G565" s="13">
        <f t="shared" si="42"/>
        <v>21196.105702364395</v>
      </c>
      <c r="H565" s="13">
        <f t="shared" si="42"/>
        <v>24816.655473472129</v>
      </c>
      <c r="I565" s="13">
        <f t="shared" si="42"/>
        <v>20706.182281708094</v>
      </c>
      <c r="J565" s="13">
        <f t="shared" si="42"/>
        <v>33558.876270173343</v>
      </c>
    </row>
    <row r="567" spans="2:12" x14ac:dyDescent="0.55000000000000004">
      <c r="B567" s="1" t="s">
        <v>1588</v>
      </c>
      <c r="C567" s="5"/>
      <c r="D567" s="5" t="s">
        <v>1589</v>
      </c>
      <c r="E567" s="5" t="s">
        <v>1583</v>
      </c>
      <c r="F567" s="5" t="s">
        <v>1582</v>
      </c>
      <c r="G567" s="5" t="s">
        <v>1581</v>
      </c>
      <c r="H567" s="5" t="s">
        <v>1580</v>
      </c>
      <c r="I567" s="5" t="s">
        <v>1579</v>
      </c>
      <c r="J567" s="5" t="s">
        <v>1578</v>
      </c>
    </row>
    <row r="568" spans="2:12" x14ac:dyDescent="0.55000000000000004">
      <c r="B568" t="s">
        <v>117</v>
      </c>
      <c r="C568" s="54"/>
      <c r="D568" s="54"/>
      <c r="E568" s="37">
        <v>379</v>
      </c>
      <c r="F568" s="37">
        <v>445</v>
      </c>
      <c r="G568" s="37">
        <v>556</v>
      </c>
      <c r="H568" s="37">
        <v>609</v>
      </c>
      <c r="I568" s="37">
        <v>722</v>
      </c>
      <c r="J568" s="37">
        <v>739</v>
      </c>
    </row>
    <row r="569" spans="2:12" x14ac:dyDescent="0.55000000000000004">
      <c r="B569" t="s">
        <v>333</v>
      </c>
      <c r="D569" s="13">
        <v>1448</v>
      </c>
      <c r="E569" s="13">
        <v>1747</v>
      </c>
      <c r="F569" s="13">
        <v>1954</v>
      </c>
      <c r="G569" s="13">
        <v>2180</v>
      </c>
      <c r="H569" s="13">
        <v>2575</v>
      </c>
      <c r="I569" s="13">
        <v>3332</v>
      </c>
      <c r="J569" s="13">
        <v>3883</v>
      </c>
    </row>
    <row r="571" spans="2:12" x14ac:dyDescent="0.55000000000000004">
      <c r="B571" t="s">
        <v>1575</v>
      </c>
      <c r="D571" s="4"/>
      <c r="E571" s="4">
        <v>78</v>
      </c>
      <c r="F571" s="4">
        <v>98</v>
      </c>
      <c r="G571" s="4">
        <v>101</v>
      </c>
      <c r="H571" s="4">
        <v>135</v>
      </c>
      <c r="I571" s="4">
        <v>193</v>
      </c>
      <c r="J571" s="4">
        <v>247.3</v>
      </c>
    </row>
    <row r="572" spans="2:12" x14ac:dyDescent="0.55000000000000004">
      <c r="B572" s="14" t="s">
        <v>1576</v>
      </c>
      <c r="C572" s="14"/>
      <c r="D572" s="23"/>
      <c r="E572" s="23"/>
      <c r="F572" s="23"/>
      <c r="G572" s="23"/>
      <c r="H572" s="23"/>
      <c r="I572" s="23"/>
      <c r="J572" s="23"/>
    </row>
    <row r="573" spans="2:12" x14ac:dyDescent="0.55000000000000004">
      <c r="B573" t="s">
        <v>65</v>
      </c>
      <c r="D573" s="4"/>
      <c r="E573" s="4">
        <f t="shared" ref="E573:J573" si="43">E571+E572</f>
        <v>78</v>
      </c>
      <c r="F573" s="4">
        <f t="shared" si="43"/>
        <v>98</v>
      </c>
      <c r="G573" s="4">
        <f t="shared" si="43"/>
        <v>101</v>
      </c>
      <c r="H573" s="4">
        <f t="shared" si="43"/>
        <v>135</v>
      </c>
      <c r="I573" s="4">
        <f t="shared" si="43"/>
        <v>193</v>
      </c>
      <c r="J573" s="4">
        <f t="shared" si="43"/>
        <v>247.3</v>
      </c>
    </row>
    <row r="575" spans="2:12" x14ac:dyDescent="0.55000000000000004">
      <c r="B575" t="s">
        <v>1577</v>
      </c>
      <c r="D575" s="2"/>
      <c r="E575" s="2">
        <f t="shared" ref="E575:J575" si="44">E573/E568</f>
        <v>0.20580474934036938</v>
      </c>
      <c r="F575" s="2">
        <f t="shared" si="44"/>
        <v>0.22022471910112359</v>
      </c>
      <c r="G575" s="2">
        <f t="shared" si="44"/>
        <v>0.18165467625899281</v>
      </c>
      <c r="H575" s="2">
        <f t="shared" si="44"/>
        <v>0.22167487684729065</v>
      </c>
      <c r="I575" s="2">
        <f t="shared" si="44"/>
        <v>0.26731301939058172</v>
      </c>
      <c r="J575" s="2">
        <f t="shared" si="44"/>
        <v>0.33464140730717185</v>
      </c>
    </row>
    <row r="576" spans="2:12" x14ac:dyDescent="0.55000000000000004">
      <c r="B576" t="s">
        <v>1584</v>
      </c>
      <c r="D576" s="9"/>
      <c r="E576" s="13">
        <f t="shared" ref="E576:J576" si="45">E573*2*1000000/AVERAGE(D569,E569)</f>
        <v>97652.582159624406</v>
      </c>
      <c r="F576" s="13">
        <f t="shared" si="45"/>
        <v>105917.31964333964</v>
      </c>
      <c r="G576" s="13">
        <f t="shared" si="45"/>
        <v>97726.173197871307</v>
      </c>
      <c r="H576" s="13">
        <f t="shared" si="45"/>
        <v>113564.66876971608</v>
      </c>
      <c r="I576" s="13">
        <f t="shared" si="45"/>
        <v>130692.39884882343</v>
      </c>
      <c r="J576" s="13">
        <f t="shared" si="45"/>
        <v>137103.25710325711</v>
      </c>
    </row>
    <row r="577" spans="2:10" x14ac:dyDescent="0.55000000000000004">
      <c r="B577" t="s">
        <v>1586</v>
      </c>
      <c r="D577" s="9"/>
      <c r="E577" s="297">
        <v>1.2048267187500004</v>
      </c>
      <c r="F577" s="297">
        <v>1.2048267187500004</v>
      </c>
      <c r="G577" s="297">
        <v>1.1605492424242425</v>
      </c>
      <c r="H577" s="297">
        <v>1.0932034615384616</v>
      </c>
      <c r="I577" s="297">
        <v>1.01</v>
      </c>
      <c r="J577" s="297">
        <v>1.08</v>
      </c>
    </row>
    <row r="578" spans="2:10" x14ac:dyDescent="0.55000000000000004">
      <c r="B578" t="s">
        <v>1585</v>
      </c>
      <c r="E578" s="13">
        <f t="shared" ref="E578:J578" si="46">E576*E577</f>
        <v>117654.44014084509</v>
      </c>
      <c r="F578" s="13">
        <f t="shared" si="46"/>
        <v>127612.01668467985</v>
      </c>
      <c r="G578" s="13">
        <f t="shared" si="46"/>
        <v>113416.03626980986</v>
      </c>
      <c r="H578" s="13">
        <f t="shared" si="46"/>
        <v>124149.28900752244</v>
      </c>
      <c r="I578" s="13">
        <f t="shared" si="46"/>
        <v>131999.32283731166</v>
      </c>
      <c r="J578" s="13">
        <f t="shared" si="46"/>
        <v>148071.51767151768</v>
      </c>
    </row>
    <row r="601" spans="2:9" x14ac:dyDescent="0.55000000000000004">
      <c r="C601">
        <v>2021</v>
      </c>
      <c r="D601">
        <f t="shared" ref="D601:I601" si="47">C601+1</f>
        <v>2022</v>
      </c>
      <c r="E601">
        <f t="shared" si="47"/>
        <v>2023</v>
      </c>
      <c r="F601">
        <f t="shared" si="47"/>
        <v>2024</v>
      </c>
      <c r="G601">
        <f t="shared" si="47"/>
        <v>2025</v>
      </c>
      <c r="H601">
        <f t="shared" si="47"/>
        <v>2026</v>
      </c>
      <c r="I601">
        <f t="shared" si="47"/>
        <v>2027</v>
      </c>
    </row>
    <row r="602" spans="2:9" x14ac:dyDescent="0.55000000000000004">
      <c r="B602" t="s">
        <v>1591</v>
      </c>
    </row>
    <row r="603" spans="2:9" x14ac:dyDescent="0.55000000000000004">
      <c r="B603" t="s">
        <v>1592</v>
      </c>
      <c r="C603" s="2">
        <v>0.15</v>
      </c>
      <c r="D603" s="2">
        <v>7.0000000000000007E-2</v>
      </c>
      <c r="E603" s="2">
        <v>0.06</v>
      </c>
      <c r="F603" s="2">
        <v>7.0000000000000007E-2</v>
      </c>
      <c r="G603" s="2">
        <v>7.0000000000000007E-2</v>
      </c>
      <c r="H603" s="2">
        <v>7.0000000000000007E-2</v>
      </c>
      <c r="I603" s="2">
        <v>7.0000000000000007E-2</v>
      </c>
    </row>
    <row r="604" spans="2:9" x14ac:dyDescent="0.55000000000000004">
      <c r="B604" t="s">
        <v>1593</v>
      </c>
      <c r="C604" s="2">
        <v>0.11</v>
      </c>
      <c r="D604" s="2">
        <v>0.04</v>
      </c>
      <c r="E604" s="2">
        <v>0.06</v>
      </c>
      <c r="F604" s="2">
        <v>0.03</v>
      </c>
      <c r="G604" s="2">
        <v>0.04</v>
      </c>
      <c r="H604" s="2">
        <v>0.04</v>
      </c>
      <c r="I604" s="2">
        <v>0.04</v>
      </c>
    </row>
    <row r="626" spans="2:3" x14ac:dyDescent="0.55000000000000004">
      <c r="B626" t="s">
        <v>1601</v>
      </c>
      <c r="C626" s="2">
        <v>0.02</v>
      </c>
    </row>
    <row r="627" spans="2:3" x14ac:dyDescent="0.55000000000000004">
      <c r="B627" t="s">
        <v>67</v>
      </c>
      <c r="C627" s="2">
        <v>0.05</v>
      </c>
    </row>
    <row r="628" spans="2:3" x14ac:dyDescent="0.55000000000000004">
      <c r="B628" t="s">
        <v>1604</v>
      </c>
      <c r="C628" s="2">
        <v>7.5999999999999998E-2</v>
      </c>
    </row>
    <row r="629" spans="2:3" x14ac:dyDescent="0.55000000000000004">
      <c r="B629" t="s">
        <v>1594</v>
      </c>
      <c r="C629" s="2">
        <v>0.08</v>
      </c>
    </row>
    <row r="630" spans="2:3" x14ac:dyDescent="0.55000000000000004">
      <c r="B630" t="s">
        <v>1606</v>
      </c>
      <c r="C630" s="2">
        <v>0.08</v>
      </c>
    </row>
    <row r="631" spans="2:3" x14ac:dyDescent="0.55000000000000004">
      <c r="B631" t="s">
        <v>64</v>
      </c>
      <c r="C631" s="2">
        <v>8.1000000000000003E-2</v>
      </c>
    </row>
    <row r="632" spans="2:3" x14ac:dyDescent="0.55000000000000004">
      <c r="B632" t="s">
        <v>68</v>
      </c>
      <c r="C632" s="2">
        <v>0.09</v>
      </c>
    </row>
    <row r="633" spans="2:3" x14ac:dyDescent="0.55000000000000004">
      <c r="B633" t="s">
        <v>1598</v>
      </c>
      <c r="C633" s="2">
        <v>0.1</v>
      </c>
    </row>
    <row r="634" spans="2:3" x14ac:dyDescent="0.55000000000000004">
      <c r="B634" t="s">
        <v>1599</v>
      </c>
      <c r="C634" s="2">
        <v>0.1</v>
      </c>
    </row>
    <row r="635" spans="2:3" x14ac:dyDescent="0.55000000000000004">
      <c r="B635" t="s">
        <v>1600</v>
      </c>
      <c r="C635" s="2">
        <v>0.11</v>
      </c>
    </row>
    <row r="636" spans="2:3" x14ac:dyDescent="0.55000000000000004">
      <c r="B636" t="s">
        <v>1602</v>
      </c>
      <c r="C636" s="2">
        <v>0.11</v>
      </c>
    </row>
    <row r="637" spans="2:3" x14ac:dyDescent="0.55000000000000004">
      <c r="B637" t="s">
        <v>1607</v>
      </c>
      <c r="C637" s="2">
        <v>0.11</v>
      </c>
    </row>
    <row r="638" spans="2:3" x14ac:dyDescent="0.55000000000000004">
      <c r="B638" t="s">
        <v>1605</v>
      </c>
      <c r="C638" s="2">
        <v>0.13400000000000001</v>
      </c>
    </row>
    <row r="639" spans="2:3" x14ac:dyDescent="0.55000000000000004">
      <c r="B639" t="s">
        <v>1595</v>
      </c>
      <c r="C639" s="2">
        <v>0.14000000000000001</v>
      </c>
    </row>
    <row r="640" spans="2:3" x14ac:dyDescent="0.55000000000000004">
      <c r="B640" t="s">
        <v>1596</v>
      </c>
      <c r="C640" s="2">
        <v>0.16300000000000001</v>
      </c>
    </row>
    <row r="641" spans="2:12" x14ac:dyDescent="0.55000000000000004">
      <c r="B641" t="s">
        <v>1603</v>
      </c>
      <c r="C641" s="2">
        <v>0.18</v>
      </c>
    </row>
    <row r="642" spans="2:12" x14ac:dyDescent="0.55000000000000004">
      <c r="B642" t="s">
        <v>1608</v>
      </c>
      <c r="C642" s="2">
        <v>0.28000000000000003</v>
      </c>
    </row>
    <row r="643" spans="2:12" x14ac:dyDescent="0.55000000000000004">
      <c r="B643" t="s">
        <v>1597</v>
      </c>
      <c r="C643" s="2">
        <v>0.3</v>
      </c>
    </row>
    <row r="652" spans="2:12" x14ac:dyDescent="0.55000000000000004">
      <c r="C652" s="37" t="str">
        <f>Quarts!L2</f>
        <v>Q2 21</v>
      </c>
      <c r="D652" s="37" t="str">
        <f>Quarts!M2</f>
        <v>Q3 21</v>
      </c>
      <c r="E652" s="37" t="str">
        <f>Quarts!N2</f>
        <v>Q4 21</v>
      </c>
      <c r="F652" s="37" t="str">
        <f>Quarts!O2</f>
        <v>Q1 22</v>
      </c>
      <c r="G652" s="37" t="str">
        <f>Quarts!P2</f>
        <v>Q2 22</v>
      </c>
      <c r="H652" s="37" t="str">
        <f>Quarts!Q2</f>
        <v>Q3 22</v>
      </c>
      <c r="I652" s="37" t="str">
        <f>Quarts!R2</f>
        <v>Q4 22</v>
      </c>
      <c r="J652" s="37" t="str">
        <f>Quarts!S2</f>
        <v>Q1 23</v>
      </c>
      <c r="K652" s="37" t="str">
        <f>Quarts!T2</f>
        <v>Q2 23</v>
      </c>
      <c r="L652" s="37" t="str">
        <f>Quarts!U2</f>
        <v>Q3 23</v>
      </c>
    </row>
    <row r="653" spans="2:12" x14ac:dyDescent="0.55000000000000004">
      <c r="C653" s="2">
        <f>Quarts!L16</f>
        <v>0.63</v>
      </c>
      <c r="D653" s="2">
        <f>Quarts!M16</f>
        <v>0.56999999999999995</v>
      </c>
      <c r="E653" s="2">
        <f>Quarts!N16</f>
        <v>0.54</v>
      </c>
      <c r="F653" s="2">
        <f>Quarts!O16</f>
        <v>0.52</v>
      </c>
      <c r="G653" s="2">
        <f>Quarts!P16</f>
        <v>0.51</v>
      </c>
      <c r="H653" s="2">
        <f>Quarts!Q16</f>
        <v>0.53</v>
      </c>
      <c r="I653" s="2">
        <f>Quarts!R16</f>
        <v>0.55000000000000004</v>
      </c>
      <c r="J653" s="2">
        <f>Quarts!S16</f>
        <v>0.57999999999999996</v>
      </c>
      <c r="K653" s="2">
        <f>Quarts!T16</f>
        <v>0.59</v>
      </c>
      <c r="L653" s="2">
        <f>Quarts!U16</f>
        <v>0.6</v>
      </c>
    </row>
    <row r="674" spans="2:20" ht="14.7" thickBot="1" x14ac:dyDescent="0.6"/>
    <row r="675" spans="2:20" x14ac:dyDescent="0.55000000000000004">
      <c r="B675" s="1"/>
      <c r="C675" s="5" t="str">
        <f>Quarts!O2</f>
        <v>Q1 22</v>
      </c>
      <c r="D675" s="5" t="str">
        <f>Quarts!P2</f>
        <v>Q2 22</v>
      </c>
      <c r="E675" s="5" t="str">
        <f>Quarts!Q2</f>
        <v>Q3 22</v>
      </c>
      <c r="F675" s="5" t="str">
        <f>Quarts!R2</f>
        <v>Q4 22</v>
      </c>
      <c r="G675" s="332" t="str">
        <f>Quarts!R2</f>
        <v>Q4 22</v>
      </c>
      <c r="H675" s="5" t="str">
        <f>Quarts!S2</f>
        <v>Q1 23</v>
      </c>
      <c r="I675" s="5" t="str">
        <f>Quarts!T2</f>
        <v>Q2 23</v>
      </c>
      <c r="J675" s="5" t="str">
        <f>Quarts!U2</f>
        <v>Q3 23</v>
      </c>
      <c r="K675" s="327" t="e">
        <f>Quarts!#REF!</f>
        <v>#REF!</v>
      </c>
      <c r="L675" s="328" t="e">
        <f>Quarts!#REF!</f>
        <v>#REF!</v>
      </c>
      <c r="M675" s="329" t="e">
        <f>Quarts!#REF!</f>
        <v>#REF!</v>
      </c>
      <c r="N675" s="5" t="e">
        <f>Quarts!#REF!</f>
        <v>#REF!</v>
      </c>
      <c r="O675" s="332" t="str">
        <f>Quarts!AG2</f>
        <v>FY 2023E</v>
      </c>
      <c r="P675" s="5" t="e">
        <f>Quarts!#REF!</f>
        <v>#REF!</v>
      </c>
      <c r="Q675" s="5" t="str">
        <f>Quarts!Y2</f>
        <v>Q2 24E</v>
      </c>
      <c r="R675" s="5" t="str">
        <f>Quarts!Z2</f>
        <v>Q3 24E</v>
      </c>
      <c r="S675" s="5" t="str">
        <f>Quarts!AA2</f>
        <v>Q4 24E</v>
      </c>
      <c r="T675" s="332" t="str">
        <f>Quarts!AH2</f>
        <v>FY 2024E</v>
      </c>
    </row>
    <row r="676" spans="2:20" x14ac:dyDescent="0.55000000000000004">
      <c r="B676" t="e">
        <f>Quarts!#REF!</f>
        <v>#REF!</v>
      </c>
      <c r="C676" s="26" t="e">
        <f>Quarts!#REF!</f>
        <v>#REF!</v>
      </c>
      <c r="D676" s="26" t="e">
        <f>Quarts!#REF!</f>
        <v>#REF!</v>
      </c>
      <c r="E676" s="26" t="e">
        <f>Quarts!#REF!</f>
        <v>#REF!</v>
      </c>
      <c r="F676" s="26" t="e">
        <f>Quarts!#REF!</f>
        <v>#REF!</v>
      </c>
      <c r="G676" s="333" t="e">
        <f>SUM(C676:F676)</f>
        <v>#REF!</v>
      </c>
      <c r="H676" s="26" t="e">
        <f>Quarts!#REF!</f>
        <v>#REF!</v>
      </c>
      <c r="I676" s="26" t="e">
        <f>Quarts!#REF!</f>
        <v>#REF!</v>
      </c>
      <c r="J676" s="26" t="e">
        <f>Quarts!#REF!</f>
        <v>#REF!</v>
      </c>
      <c r="K676" s="319" t="e">
        <f>Quarts!#REF!</f>
        <v>#REF!</v>
      </c>
      <c r="L676" s="320" t="e">
        <f>Quarts!#REF!</f>
        <v>#REF!</v>
      </c>
      <c r="M676" s="321" t="e">
        <f>Quarts!#REF!</f>
        <v>#REF!</v>
      </c>
      <c r="N676" s="9" t="e">
        <f>Quarts!#REF!</f>
        <v>#REF!</v>
      </c>
      <c r="O676" s="333" t="e">
        <f>Quarts!#REF!</f>
        <v>#REF!</v>
      </c>
      <c r="P676" s="9" t="e">
        <f>Quarts!#REF!</f>
        <v>#REF!</v>
      </c>
      <c r="Q676" s="9" t="e">
        <f>Quarts!#REF!</f>
        <v>#REF!</v>
      </c>
      <c r="R676" s="9" t="e">
        <f>Quarts!#REF!</f>
        <v>#REF!</v>
      </c>
      <c r="S676" s="9" t="e">
        <f>Quarts!#REF!</f>
        <v>#REF!</v>
      </c>
      <c r="T676" s="333" t="e">
        <f>Quarts!#REF!</f>
        <v>#REF!</v>
      </c>
    </row>
    <row r="677" spans="2:20" x14ac:dyDescent="0.55000000000000004">
      <c r="B677" t="s">
        <v>1617</v>
      </c>
      <c r="C677" s="9"/>
      <c r="D677" s="2" t="e">
        <f>Quarts!#REF!</f>
        <v>#REF!</v>
      </c>
      <c r="E677" s="2" t="e">
        <f>Quarts!#REF!</f>
        <v>#REF!</v>
      </c>
      <c r="F677" s="2" t="e">
        <f>Quarts!#REF!</f>
        <v>#REF!</v>
      </c>
      <c r="G677" s="334"/>
      <c r="H677" s="2" t="e">
        <f>Quarts!#REF!</f>
        <v>#REF!</v>
      </c>
      <c r="I677" s="2" t="e">
        <f>Quarts!#REF!</f>
        <v>#REF!</v>
      </c>
      <c r="J677" s="2" t="e">
        <f>Quarts!#REF!</f>
        <v>#REF!</v>
      </c>
      <c r="K677" s="330" t="s">
        <v>1620</v>
      </c>
      <c r="L677" s="322" t="e">
        <f>L676/K676-1</f>
        <v>#REF!</v>
      </c>
      <c r="M677" s="323" t="e">
        <f>M676/L676-1</f>
        <v>#REF!</v>
      </c>
      <c r="N677" s="2" t="e">
        <f>Quarts!#REF!</f>
        <v>#REF!</v>
      </c>
      <c r="O677" s="334"/>
      <c r="P677" s="2" t="e">
        <f>Quarts!#REF!</f>
        <v>#REF!</v>
      </c>
      <c r="Q677" s="2" t="e">
        <f>Quarts!#REF!</f>
        <v>#REF!</v>
      </c>
      <c r="R677" s="2" t="e">
        <f>Quarts!#REF!</f>
        <v>#REF!</v>
      </c>
      <c r="S677" s="2" t="e">
        <f>Quarts!#REF!</f>
        <v>#REF!</v>
      </c>
      <c r="T677" s="334"/>
    </row>
    <row r="678" spans="2:20" x14ac:dyDescent="0.55000000000000004">
      <c r="B678" t="s">
        <v>1618</v>
      </c>
      <c r="C678" s="9"/>
      <c r="D678" s="9"/>
      <c r="E678" s="9"/>
      <c r="F678" s="9"/>
      <c r="G678" s="333"/>
      <c r="H678" s="2" t="e">
        <f>H676/C676-1</f>
        <v>#REF!</v>
      </c>
      <c r="I678" s="2" t="e">
        <f>I676/D676-1</f>
        <v>#REF!</v>
      </c>
      <c r="J678" s="2" t="e">
        <f>J676/E676-1</f>
        <v>#REF!</v>
      </c>
      <c r="K678" s="331" t="s">
        <v>1431</v>
      </c>
      <c r="L678" s="320"/>
      <c r="M678" s="321"/>
      <c r="N678" s="2" t="e">
        <f>N676/F676-1</f>
        <v>#REF!</v>
      </c>
      <c r="O678" s="333"/>
      <c r="P678" s="2" t="e">
        <f>P676/H676-1</f>
        <v>#REF!</v>
      </c>
      <c r="Q678" s="2" t="e">
        <f>Q676/I676-1</f>
        <v>#REF!</v>
      </c>
      <c r="R678" s="2" t="e">
        <f>R676/J676-1</f>
        <v>#REF!</v>
      </c>
      <c r="S678" s="2" t="e">
        <f>S676/N676-1</f>
        <v>#REF!</v>
      </c>
      <c r="T678" s="333"/>
    </row>
    <row r="679" spans="2:20" x14ac:dyDescent="0.55000000000000004">
      <c r="C679" s="9"/>
      <c r="D679" s="9"/>
      <c r="E679" s="9"/>
      <c r="F679" s="9"/>
      <c r="G679" s="333"/>
      <c r="H679" s="9"/>
      <c r="I679" s="9"/>
      <c r="J679" s="9"/>
      <c r="K679" s="319"/>
      <c r="L679" s="320"/>
      <c r="M679" s="321"/>
      <c r="N679" s="9"/>
      <c r="O679" s="333"/>
      <c r="P679" s="9"/>
      <c r="Q679" s="9"/>
      <c r="R679" s="9"/>
      <c r="S679" s="9"/>
      <c r="T679" s="333"/>
    </row>
    <row r="680" spans="2:20" x14ac:dyDescent="0.55000000000000004">
      <c r="B680" t="s">
        <v>1619</v>
      </c>
      <c r="C680" s="2" t="e">
        <f>Quarts!#REF!</f>
        <v>#REF!</v>
      </c>
      <c r="D680" s="2" t="e">
        <f>Quarts!#REF!</f>
        <v>#REF!</v>
      </c>
      <c r="E680" s="2" t="e">
        <f>Quarts!#REF!</f>
        <v>#REF!</v>
      </c>
      <c r="F680" s="2" t="e">
        <f>Quarts!#REF!</f>
        <v>#REF!</v>
      </c>
      <c r="G680" s="333"/>
      <c r="H680" s="2" t="e">
        <f>Quarts!#REF!</f>
        <v>#REF!</v>
      </c>
      <c r="I680" s="2" t="e">
        <f>Quarts!#REF!</f>
        <v>#REF!</v>
      </c>
      <c r="J680" s="2" t="e">
        <f>Quarts!#REF!</f>
        <v>#REF!</v>
      </c>
      <c r="K680" s="319"/>
      <c r="L680" s="320"/>
      <c r="M680" s="321"/>
      <c r="N680" s="2" t="e">
        <f>Quarts!#REF!</f>
        <v>#REF!</v>
      </c>
      <c r="O680" s="333"/>
      <c r="P680" s="2" t="e">
        <f>Quarts!#REF!</f>
        <v>#REF!</v>
      </c>
      <c r="Q680" s="2" t="e">
        <f>Quarts!#REF!</f>
        <v>#REF!</v>
      </c>
      <c r="R680" s="2" t="e">
        <f>Quarts!#REF!</f>
        <v>#REF!</v>
      </c>
      <c r="S680" s="2" t="e">
        <f>Quarts!#REF!</f>
        <v>#REF!</v>
      </c>
      <c r="T680" s="333"/>
    </row>
    <row r="681" spans="2:20" x14ac:dyDescent="0.55000000000000004">
      <c r="C681" s="9"/>
      <c r="D681" s="9"/>
      <c r="E681" s="9"/>
      <c r="F681" s="9"/>
      <c r="G681" s="333"/>
      <c r="H681" s="9"/>
      <c r="I681" s="9"/>
      <c r="J681" s="9"/>
      <c r="K681" s="319"/>
      <c r="L681" s="320"/>
      <c r="M681" s="321"/>
      <c r="N681" s="9"/>
      <c r="O681" s="333"/>
      <c r="P681" s="9"/>
      <c r="Q681" s="9"/>
      <c r="R681" s="9"/>
      <c r="S681" s="9"/>
      <c r="T681" s="333"/>
    </row>
    <row r="682" spans="2:20" x14ac:dyDescent="0.55000000000000004">
      <c r="B682" t="str">
        <f>Quarts!B40</f>
        <v>USD/ARS (average)</v>
      </c>
      <c r="C682" s="26">
        <f>Quarts!O40</f>
        <v>106.67396562500002</v>
      </c>
      <c r="D682" s="26">
        <f>Quarts!P40</f>
        <v>118.04314615384614</v>
      </c>
      <c r="E682" s="26">
        <f>Quarts!Q40</f>
        <v>135.8178969696969</v>
      </c>
      <c r="F682" s="26">
        <f>Quarts!R40</f>
        <v>162.50708307692304</v>
      </c>
      <c r="G682" s="333"/>
      <c r="H682" s="26">
        <f>Quarts!S40</f>
        <v>192.66707076923078</v>
      </c>
      <c r="I682" s="26">
        <f>Quarts!T40</f>
        <v>232.49595230769222</v>
      </c>
      <c r="J682" s="26">
        <f>Quarts!U40</f>
        <v>313.56274461538464</v>
      </c>
      <c r="K682" s="319" t="e">
        <f>Quarts!#REF!</f>
        <v>#REF!</v>
      </c>
      <c r="L682" s="320" t="e">
        <f>Quarts!#REF!</f>
        <v>#REF!</v>
      </c>
      <c r="M682" s="321" t="e">
        <f>Quarts!#REF!</f>
        <v>#REF!</v>
      </c>
      <c r="N682" s="9" t="e">
        <f>Quarts!#REF!</f>
        <v>#REF!</v>
      </c>
      <c r="O682" s="333"/>
      <c r="P682" s="9" t="e">
        <f>Quarts!#REF!</f>
        <v>#REF!</v>
      </c>
      <c r="Q682" s="9">
        <f>Quarts!Y40</f>
        <v>0</v>
      </c>
      <c r="R682" s="9">
        <f>Quarts!Z40</f>
        <v>0</v>
      </c>
      <c r="S682" s="9">
        <f>Quarts!AA40</f>
        <v>0</v>
      </c>
      <c r="T682" s="333"/>
    </row>
    <row r="683" spans="2:20" x14ac:dyDescent="0.55000000000000004">
      <c r="B683" t="s">
        <v>1621</v>
      </c>
      <c r="D683" s="2">
        <f>D682/C682-1</f>
        <v>0.10657877451385978</v>
      </c>
      <c r="E683" s="2">
        <f>E682/D682-1</f>
        <v>0.15057842318676307</v>
      </c>
      <c r="F683" s="2">
        <f>F682/E682-1</f>
        <v>0.19650713714983303</v>
      </c>
      <c r="G683" s="333"/>
      <c r="H683" s="2">
        <f>H682/F682-1</f>
        <v>0.18559183465271767</v>
      </c>
      <c r="I683" s="2">
        <f>I682/H682-1</f>
        <v>0.20672386505614626</v>
      </c>
      <c r="J683" s="2">
        <f>J682/I682-1</f>
        <v>0.34868044584452007</v>
      </c>
      <c r="K683" s="319"/>
      <c r="L683" s="320"/>
      <c r="M683" s="321"/>
      <c r="N683" s="2" t="e">
        <f>N682/J682-1</f>
        <v>#REF!</v>
      </c>
      <c r="O683" s="333"/>
      <c r="P683" s="2" t="e">
        <f>P682/N682-1</f>
        <v>#REF!</v>
      </c>
      <c r="Q683" s="2" t="e">
        <f>Q682/P682-1</f>
        <v>#REF!</v>
      </c>
      <c r="R683" s="2" t="e">
        <f>R682/Q682-1</f>
        <v>#DIV/0!</v>
      </c>
      <c r="S683" s="2" t="e">
        <f>S682/R682-1</f>
        <v>#DIV/0!</v>
      </c>
      <c r="T683" s="333"/>
    </row>
    <row r="684" spans="2:20" ht="14.7" thickBot="1" x14ac:dyDescent="0.6">
      <c r="B684" t="s">
        <v>1616</v>
      </c>
      <c r="C684" s="26">
        <f>Quarts!O25</f>
        <v>21.1</v>
      </c>
      <c r="D684" s="26">
        <f>Quarts!P25</f>
        <v>23.2</v>
      </c>
      <c r="E684" s="26">
        <f>Quarts!Q25</f>
        <v>19.100000000000001</v>
      </c>
      <c r="F684" s="26">
        <f>Quarts!R25</f>
        <v>14.2</v>
      </c>
      <c r="G684" s="335">
        <f>SUM(C684:F684)</f>
        <v>77.599999999999994</v>
      </c>
      <c r="H684" s="26">
        <f>Quarts!S25</f>
        <v>20</v>
      </c>
      <c r="I684" s="26">
        <f>Quarts!T25</f>
        <v>20.7</v>
      </c>
      <c r="J684" s="26">
        <f>Quarts!U25</f>
        <v>23.9</v>
      </c>
      <c r="K684" s="324" t="e">
        <f>Quarts!#REF!</f>
        <v>#REF!</v>
      </c>
      <c r="L684" s="325" t="e">
        <f>Quarts!#REF!</f>
        <v>#REF!</v>
      </c>
      <c r="M684" s="326" t="e">
        <f>Quarts!#REF!</f>
        <v>#REF!</v>
      </c>
      <c r="N684" s="9" t="e">
        <f>Quarts!#REF!</f>
        <v>#REF!</v>
      </c>
      <c r="O684" s="335">
        <f>Quarts!AG25</f>
        <v>75.099999999999994</v>
      </c>
      <c r="P684" s="9" t="e">
        <f>Quarts!#REF!</f>
        <v>#REF!</v>
      </c>
      <c r="Q684" s="9">
        <f>Quarts!Y25</f>
        <v>16</v>
      </c>
      <c r="R684" s="9">
        <f>Quarts!Z25</f>
        <v>17</v>
      </c>
      <c r="S684" s="9">
        <f>Quarts!AA25</f>
        <v>17.200000000000003</v>
      </c>
      <c r="T684" s="335">
        <f>Quarts!AH25</f>
        <v>64</v>
      </c>
    </row>
    <row r="687" spans="2:20" x14ac:dyDescent="0.55000000000000004">
      <c r="B687" s="14"/>
      <c r="C687" s="14" t="s">
        <v>52</v>
      </c>
      <c r="D687" s="14" t="s">
        <v>53</v>
      </c>
      <c r="E687" s="14"/>
      <c r="F687" s="14" t="s">
        <v>1629</v>
      </c>
    </row>
    <row r="688" spans="2:20" x14ac:dyDescent="0.55000000000000004">
      <c r="B688" t="s">
        <v>668</v>
      </c>
      <c r="C688" t="s">
        <v>1625</v>
      </c>
      <c r="D688" t="s">
        <v>1627</v>
      </c>
      <c r="F688" t="s">
        <v>1630</v>
      </c>
    </row>
    <row r="689" spans="2:8" x14ac:dyDescent="0.55000000000000004">
      <c r="B689" t="s">
        <v>18</v>
      </c>
      <c r="C689" t="s">
        <v>1626</v>
      </c>
      <c r="D689" t="s">
        <v>1628</v>
      </c>
      <c r="F689" t="s">
        <v>1650</v>
      </c>
    </row>
    <row r="690" spans="2:8" x14ac:dyDescent="0.55000000000000004">
      <c r="F690" s="7" t="s">
        <v>1632</v>
      </c>
    </row>
    <row r="691" spans="2:8" x14ac:dyDescent="0.55000000000000004">
      <c r="F691" t="s">
        <v>1633</v>
      </c>
    </row>
    <row r="692" spans="2:8" x14ac:dyDescent="0.55000000000000004">
      <c r="F692" t="s">
        <v>1634</v>
      </c>
    </row>
    <row r="693" spans="2:8" x14ac:dyDescent="0.55000000000000004">
      <c r="F693" t="s">
        <v>1631</v>
      </c>
    </row>
    <row r="694" spans="2:8" x14ac:dyDescent="0.55000000000000004">
      <c r="F694" t="s">
        <v>1635</v>
      </c>
    </row>
    <row r="695" spans="2:8" x14ac:dyDescent="0.55000000000000004">
      <c r="G695" s="7" t="s">
        <v>1636</v>
      </c>
    </row>
    <row r="696" spans="2:8" x14ac:dyDescent="0.55000000000000004">
      <c r="H696" t="s">
        <v>1637</v>
      </c>
    </row>
    <row r="697" spans="2:8" x14ac:dyDescent="0.55000000000000004">
      <c r="H697" t="s">
        <v>1644</v>
      </c>
    </row>
    <row r="698" spans="2:8" x14ac:dyDescent="0.55000000000000004">
      <c r="H698" t="s">
        <v>1649</v>
      </c>
    </row>
    <row r="699" spans="2:8" x14ac:dyDescent="0.55000000000000004">
      <c r="B699" t="s">
        <v>1639</v>
      </c>
      <c r="C699" t="s">
        <v>1640</v>
      </c>
      <c r="D699" t="s">
        <v>1642</v>
      </c>
      <c r="F699" t="s">
        <v>1647</v>
      </c>
    </row>
    <row r="700" spans="2:8" x14ac:dyDescent="0.55000000000000004">
      <c r="B700" t="s">
        <v>1638</v>
      </c>
      <c r="C700" t="s">
        <v>1641</v>
      </c>
      <c r="D700" t="s">
        <v>1643</v>
      </c>
      <c r="F700" t="s">
        <v>1648</v>
      </c>
    </row>
    <row r="701" spans="2:8" x14ac:dyDescent="0.55000000000000004">
      <c r="F701" s="7" t="s">
        <v>1632</v>
      </c>
    </row>
    <row r="702" spans="2:8" x14ac:dyDescent="0.55000000000000004">
      <c r="F702" t="s">
        <v>1645</v>
      </c>
    </row>
    <row r="703" spans="2:8" x14ac:dyDescent="0.55000000000000004">
      <c r="F703" t="s">
        <v>1646</v>
      </c>
    </row>
    <row r="704" spans="2:8" x14ac:dyDescent="0.55000000000000004">
      <c r="C704" t="s">
        <v>75</v>
      </c>
      <c r="D704" t="s">
        <v>243</v>
      </c>
      <c r="E704" t="s">
        <v>1652</v>
      </c>
    </row>
    <row r="705" spans="2:5" x14ac:dyDescent="0.55000000000000004">
      <c r="B705" t="s">
        <v>1290</v>
      </c>
      <c r="C705" s="336" t="e">
        <f>Quarts!#REF!</f>
        <v>#REF!</v>
      </c>
      <c r="D705" s="3">
        <f>Quarts!U46</f>
        <v>3.5491554785621479E-2</v>
      </c>
    </row>
    <row r="706" spans="2:5" x14ac:dyDescent="0.55000000000000004">
      <c r="B706" t="s">
        <v>1651</v>
      </c>
      <c r="C706" s="3" t="e">
        <f>Quarts!#REF!</f>
        <v>#REF!</v>
      </c>
      <c r="D706" s="3">
        <f>Quarts!U95</f>
        <v>1.613252490255522E-2</v>
      </c>
    </row>
    <row r="707" spans="2:5" x14ac:dyDescent="0.55000000000000004">
      <c r="B707" t="s">
        <v>130</v>
      </c>
      <c r="C707" s="9" t="e">
        <f>Quarts!#REF!</f>
        <v>#REF!</v>
      </c>
      <c r="D707" s="9">
        <f>Quarts!U35</f>
        <v>163.9</v>
      </c>
      <c r="E707" s="2" t="e">
        <f>C707/D707</f>
        <v>#REF!</v>
      </c>
    </row>
    <row r="708" spans="2:5" x14ac:dyDescent="0.55000000000000004">
      <c r="B708" t="s">
        <v>105</v>
      </c>
      <c r="C708" s="9" t="e">
        <f>Quarts!#REF!</f>
        <v>#REF!</v>
      </c>
      <c r="D708" s="9">
        <f>Quarts!U79</f>
        <v>74.5</v>
      </c>
      <c r="E708" s="2" t="e">
        <f>C708/D708</f>
        <v>#REF!</v>
      </c>
    </row>
    <row r="710" spans="2:5" x14ac:dyDescent="0.55000000000000004">
      <c r="C710" t="s">
        <v>69</v>
      </c>
      <c r="D710" t="s">
        <v>243</v>
      </c>
    </row>
    <row r="711" spans="2:5" x14ac:dyDescent="0.55000000000000004">
      <c r="B711" t="str">
        <f>B705</f>
        <v>Gross take rate</v>
      </c>
      <c r="C711" s="2" t="e">
        <f>Quarts!#REF!</f>
        <v>#REF!</v>
      </c>
      <c r="D711" s="3">
        <f>Quarts!S46</f>
        <v>3.841634023503078E-2</v>
      </c>
    </row>
    <row r="712" spans="2:5" x14ac:dyDescent="0.55000000000000004">
      <c r="B712" t="str">
        <f>B706</f>
        <v>Net take rate</v>
      </c>
      <c r="C712" s="3">
        <v>0.02</v>
      </c>
      <c r="D712" s="3">
        <f>Quarts!S95</f>
        <v>1.7291550083939566E-2</v>
      </c>
    </row>
    <row r="713" spans="2:5" x14ac:dyDescent="0.55000000000000004">
      <c r="B713" t="str">
        <f>B707</f>
        <v>Gross revenue</v>
      </c>
      <c r="C713" t="e">
        <f>Quarts!#REF!</f>
        <v>#REF!</v>
      </c>
      <c r="D713" s="9">
        <f>Quarts!S35</f>
        <v>137.30000000000001</v>
      </c>
      <c r="E713" s="2" t="e">
        <f>C713/D713</f>
        <v>#REF!</v>
      </c>
    </row>
    <row r="714" spans="2:5" x14ac:dyDescent="0.55000000000000004">
      <c r="B714" t="str">
        <f>B708</f>
        <v>Gross profit</v>
      </c>
      <c r="C714" s="4" t="e">
        <f>C712*C715</f>
        <v>#REF!</v>
      </c>
      <c r="D714" s="9">
        <f>Quarts!S79</f>
        <v>61.800000000000004</v>
      </c>
      <c r="E714" s="2" t="e">
        <f>C714/D714</f>
        <v>#REF!</v>
      </c>
    </row>
    <row r="715" spans="2:5" x14ac:dyDescent="0.55000000000000004">
      <c r="B715" t="s">
        <v>468</v>
      </c>
      <c r="C715" t="e">
        <f>C713/C711</f>
        <v>#REF!</v>
      </c>
      <c r="D715" s="9">
        <f>Quarts!S3</f>
        <v>3574</v>
      </c>
    </row>
    <row r="726" spans="2:12" x14ac:dyDescent="0.55000000000000004">
      <c r="B726" t="s">
        <v>75</v>
      </c>
    </row>
    <row r="727" spans="2:12" x14ac:dyDescent="0.55000000000000004">
      <c r="C727" s="37" t="str">
        <f>Quarts!S2</f>
        <v>Q1 23</v>
      </c>
      <c r="D727" s="37" t="str">
        <f>Quarts!T2</f>
        <v>Q2 23</v>
      </c>
      <c r="E727" s="37" t="str">
        <f>Quarts!U2</f>
        <v>Q3 23</v>
      </c>
      <c r="F727" s="37" t="e">
        <f>Quarts!#REF!</f>
        <v>#REF!</v>
      </c>
      <c r="G727" s="37" t="e">
        <f>Quarts!#REF!</f>
        <v>#REF!</v>
      </c>
      <c r="H727" s="37" t="str">
        <f>Quarts!Y2</f>
        <v>Q2 24E</v>
      </c>
      <c r="I727" s="37" t="str">
        <f>Quarts!Z2</f>
        <v>Q3 24E</v>
      </c>
      <c r="J727" s="37" t="str">
        <f>Quarts!AA2</f>
        <v>Q4 24E</v>
      </c>
      <c r="K727" s="37"/>
      <c r="L727" s="37"/>
    </row>
    <row r="728" spans="2:12" x14ac:dyDescent="0.55000000000000004">
      <c r="B728" t="s">
        <v>75</v>
      </c>
      <c r="C728" s="9">
        <f>Quarts!S25</f>
        <v>20</v>
      </c>
      <c r="D728" s="9">
        <f>Quarts!T25</f>
        <v>20.7</v>
      </c>
      <c r="E728" s="9">
        <f>Quarts!U25</f>
        <v>23.9</v>
      </c>
      <c r="F728" s="9" t="e">
        <f>Quarts!#REF!</f>
        <v>#REF!</v>
      </c>
      <c r="G728" s="9" t="e">
        <f>Quarts!#REF!</f>
        <v>#REF!</v>
      </c>
      <c r="H728" s="9">
        <f>Quarts!Y25</f>
        <v>16</v>
      </c>
      <c r="I728" s="9">
        <f>Quarts!Z25</f>
        <v>17</v>
      </c>
      <c r="J728" s="9">
        <f>Quarts!AA25</f>
        <v>17.200000000000003</v>
      </c>
      <c r="K728" s="9"/>
      <c r="L728" s="9"/>
    </row>
    <row r="729" spans="2:12" x14ac:dyDescent="0.55000000000000004">
      <c r="B729" t="s">
        <v>1624</v>
      </c>
      <c r="C729" s="9">
        <f>C730-C728</f>
        <v>117.30000000000001</v>
      </c>
      <c r="D729" s="9">
        <f t="shared" ref="D729:J729" si="48">D730-D728</f>
        <v>140.4</v>
      </c>
      <c r="E729" s="9">
        <f t="shared" si="48"/>
        <v>140</v>
      </c>
      <c r="F729" s="9" t="e">
        <f t="shared" si="48"/>
        <v>#REF!</v>
      </c>
      <c r="G729" s="9" t="e">
        <f t="shared" si="48"/>
        <v>#REF!</v>
      </c>
      <c r="H729" s="9">
        <f t="shared" si="48"/>
        <v>163</v>
      </c>
      <c r="I729" s="9">
        <f t="shared" si="48"/>
        <v>186</v>
      </c>
      <c r="J729" s="9">
        <f t="shared" si="48"/>
        <v>211.23371482889746</v>
      </c>
      <c r="K729" s="9"/>
      <c r="L729" s="9"/>
    </row>
    <row r="730" spans="2:12" x14ac:dyDescent="0.55000000000000004">
      <c r="B730" t="s">
        <v>243</v>
      </c>
      <c r="C730" s="9">
        <f>Quarts!S35</f>
        <v>137.30000000000001</v>
      </c>
      <c r="D730" s="9">
        <f>Quarts!T35</f>
        <v>161.1</v>
      </c>
      <c r="E730" s="9">
        <f>Quarts!U35</f>
        <v>163.9</v>
      </c>
      <c r="F730" s="9" t="e">
        <f>Quarts!#REF!</f>
        <v>#REF!</v>
      </c>
      <c r="G730" s="9" t="e">
        <f>Quarts!#REF!</f>
        <v>#REF!</v>
      </c>
      <c r="H730" s="9">
        <f>Quarts!Y35</f>
        <v>179</v>
      </c>
      <c r="I730" s="9">
        <f>Quarts!Z35</f>
        <v>203</v>
      </c>
      <c r="J730" s="9">
        <f>Quarts!AA35</f>
        <v>228.43371482889745</v>
      </c>
      <c r="K730" s="9"/>
      <c r="L730" s="9"/>
    </row>
    <row r="731" spans="2:12" x14ac:dyDescent="0.55000000000000004">
      <c r="C731" s="2">
        <f>C728/C730</f>
        <v>0.14566642388929352</v>
      </c>
      <c r="D731" s="2">
        <f t="shared" ref="D731:J731" si="49">D728/D730</f>
        <v>0.12849162011173185</v>
      </c>
      <c r="E731" s="2">
        <f t="shared" si="49"/>
        <v>0.14582062233068943</v>
      </c>
      <c r="F731" s="2" t="e">
        <f t="shared" si="49"/>
        <v>#REF!</v>
      </c>
      <c r="G731" s="2" t="e">
        <f t="shared" si="49"/>
        <v>#REF!</v>
      </c>
      <c r="H731" s="2">
        <f t="shared" si="49"/>
        <v>8.9385474860335198E-2</v>
      </c>
      <c r="I731" s="2">
        <f t="shared" si="49"/>
        <v>8.3743842364532015E-2</v>
      </c>
      <c r="J731" s="2">
        <f t="shared" si="49"/>
        <v>7.5295365278646512E-2</v>
      </c>
    </row>
    <row r="734" spans="2:12" x14ac:dyDescent="0.55000000000000004">
      <c r="B734" t="s">
        <v>751</v>
      </c>
    </row>
    <row r="735" spans="2:12" x14ac:dyDescent="0.55000000000000004">
      <c r="B735" t="s">
        <v>1678</v>
      </c>
    </row>
    <row r="737" spans="2:4" x14ac:dyDescent="0.55000000000000004">
      <c r="B737" t="s">
        <v>1679</v>
      </c>
    </row>
    <row r="738" spans="2:4" x14ac:dyDescent="0.55000000000000004">
      <c r="B738" t="s">
        <v>1680</v>
      </c>
    </row>
    <row r="740" spans="2:4" x14ac:dyDescent="0.55000000000000004">
      <c r="B740" t="s">
        <v>1681</v>
      </c>
    </row>
    <row r="743" spans="2:4" x14ac:dyDescent="0.55000000000000004">
      <c r="B743" s="22" t="s">
        <v>1682</v>
      </c>
    </row>
    <row r="745" spans="2:4" x14ac:dyDescent="0.55000000000000004">
      <c r="B745" t="s">
        <v>1692</v>
      </c>
    </row>
    <row r="746" spans="2:4" x14ac:dyDescent="0.55000000000000004">
      <c r="C746" t="s">
        <v>1693</v>
      </c>
    </row>
    <row r="747" spans="2:4" x14ac:dyDescent="0.55000000000000004">
      <c r="C747" t="s">
        <v>1694</v>
      </c>
    </row>
    <row r="748" spans="2:4" x14ac:dyDescent="0.55000000000000004">
      <c r="B748" t="s">
        <v>1695</v>
      </c>
    </row>
    <row r="749" spans="2:4" x14ac:dyDescent="0.55000000000000004">
      <c r="C749" t="s">
        <v>1696</v>
      </c>
    </row>
    <row r="750" spans="2:4" x14ac:dyDescent="0.55000000000000004">
      <c r="C750" t="s">
        <v>1697</v>
      </c>
    </row>
    <row r="751" spans="2:4" x14ac:dyDescent="0.55000000000000004">
      <c r="C751" t="s">
        <v>1698</v>
      </c>
    </row>
    <row r="752" spans="2:4" x14ac:dyDescent="0.55000000000000004">
      <c r="D752" t="s">
        <v>1687</v>
      </c>
    </row>
    <row r="753" spans="2:5" x14ac:dyDescent="0.55000000000000004">
      <c r="D753" t="s">
        <v>1699</v>
      </c>
    </row>
    <row r="754" spans="2:5" x14ac:dyDescent="0.55000000000000004">
      <c r="E754" t="s">
        <v>1683</v>
      </c>
    </row>
    <row r="755" spans="2:5" x14ac:dyDescent="0.55000000000000004">
      <c r="E755" t="s">
        <v>1684</v>
      </c>
    </row>
    <row r="756" spans="2:5" x14ac:dyDescent="0.55000000000000004">
      <c r="E756" t="s">
        <v>1685</v>
      </c>
    </row>
    <row r="757" spans="2:5" x14ac:dyDescent="0.55000000000000004">
      <c r="E757" t="s">
        <v>1686</v>
      </c>
    </row>
    <row r="758" spans="2:5" x14ac:dyDescent="0.55000000000000004">
      <c r="B758" t="s">
        <v>1688</v>
      </c>
    </row>
    <row r="759" spans="2:5" x14ac:dyDescent="0.55000000000000004">
      <c r="B759" t="s">
        <v>1689</v>
      </c>
    </row>
    <row r="760" spans="2:5" x14ac:dyDescent="0.55000000000000004">
      <c r="C760" t="s">
        <v>1690</v>
      </c>
    </row>
    <row r="761" spans="2:5" x14ac:dyDescent="0.55000000000000004">
      <c r="C761" t="s">
        <v>1691</v>
      </c>
    </row>
    <row r="763" spans="2:5" x14ac:dyDescent="0.55000000000000004">
      <c r="B763" t="s">
        <v>1702</v>
      </c>
    </row>
    <row r="764" spans="2:5" x14ac:dyDescent="0.55000000000000004">
      <c r="C764" t="s">
        <v>1700</v>
      </c>
    </row>
    <row r="765" spans="2:5" x14ac:dyDescent="0.55000000000000004">
      <c r="D765" t="s">
        <v>1701</v>
      </c>
    </row>
    <row r="766" spans="2:5" x14ac:dyDescent="0.55000000000000004">
      <c r="D766" t="s">
        <v>751</v>
      </c>
    </row>
    <row r="767" spans="2:5" x14ac:dyDescent="0.55000000000000004">
      <c r="B767" t="s">
        <v>1703</v>
      </c>
    </row>
    <row r="768" spans="2:5" x14ac:dyDescent="0.55000000000000004">
      <c r="C768" t="s">
        <v>1704</v>
      </c>
    </row>
    <row r="769" spans="2:3" x14ac:dyDescent="0.55000000000000004">
      <c r="C769" t="s">
        <v>1705</v>
      </c>
    </row>
    <row r="771" spans="2:3" x14ac:dyDescent="0.55000000000000004">
      <c r="B771" t="s">
        <v>1706</v>
      </c>
    </row>
    <row r="772" spans="2:3" x14ac:dyDescent="0.55000000000000004">
      <c r="C772" t="s">
        <v>1707</v>
      </c>
    </row>
    <row r="773" spans="2:3" x14ac:dyDescent="0.55000000000000004">
      <c r="C773" t="s">
        <v>1713</v>
      </c>
    </row>
    <row r="774" spans="2:3" x14ac:dyDescent="0.55000000000000004">
      <c r="C774" t="s">
        <v>1714</v>
      </c>
    </row>
    <row r="776" spans="2:3" x14ac:dyDescent="0.55000000000000004">
      <c r="B776" t="s">
        <v>1708</v>
      </c>
    </row>
    <row r="777" spans="2:3" x14ac:dyDescent="0.55000000000000004">
      <c r="C777" t="s">
        <v>1709</v>
      </c>
    </row>
    <row r="778" spans="2:3" x14ac:dyDescent="0.55000000000000004">
      <c r="C778" t="s">
        <v>1710</v>
      </c>
    </row>
    <row r="779" spans="2:3" x14ac:dyDescent="0.55000000000000004">
      <c r="C779" t="s">
        <v>1711</v>
      </c>
    </row>
    <row r="780" spans="2:3" x14ac:dyDescent="0.55000000000000004">
      <c r="C780" t="s">
        <v>1712</v>
      </c>
    </row>
    <row r="781" spans="2:3" x14ac:dyDescent="0.55000000000000004">
      <c r="B781" t="s">
        <v>1636</v>
      </c>
    </row>
    <row r="782" spans="2:3" x14ac:dyDescent="0.55000000000000004">
      <c r="C782" t="s">
        <v>1717</v>
      </c>
    </row>
    <row r="783" spans="2:3" x14ac:dyDescent="0.55000000000000004">
      <c r="C783" t="s">
        <v>1718</v>
      </c>
    </row>
    <row r="785" spans="2:4" x14ac:dyDescent="0.55000000000000004">
      <c r="B785" t="s">
        <v>1715</v>
      </c>
    </row>
    <row r="786" spans="2:4" x14ac:dyDescent="0.55000000000000004">
      <c r="C786" t="s">
        <v>1720</v>
      </c>
    </row>
    <row r="787" spans="2:4" x14ac:dyDescent="0.55000000000000004">
      <c r="C787" t="s">
        <v>1721</v>
      </c>
    </row>
    <row r="788" spans="2:4" x14ac:dyDescent="0.55000000000000004">
      <c r="C788" t="s">
        <v>1716</v>
      </c>
    </row>
    <row r="789" spans="2:4" x14ac:dyDescent="0.55000000000000004">
      <c r="D789" t="s">
        <v>1722</v>
      </c>
    </row>
    <row r="790" spans="2:4" x14ac:dyDescent="0.55000000000000004">
      <c r="C790" t="s">
        <v>1719</v>
      </c>
    </row>
    <row r="792" spans="2:4" x14ac:dyDescent="0.55000000000000004">
      <c r="B792" t="s">
        <v>1723</v>
      </c>
    </row>
    <row r="794" spans="2:4" x14ac:dyDescent="0.55000000000000004">
      <c r="B794" t="s">
        <v>1724</v>
      </c>
      <c r="C794">
        <v>447</v>
      </c>
    </row>
    <row r="795" spans="2:4" x14ac:dyDescent="0.55000000000000004">
      <c r="B795" t="s">
        <v>1725</v>
      </c>
      <c r="C795">
        <v>425</v>
      </c>
    </row>
    <row r="796" spans="2:4" x14ac:dyDescent="0.55000000000000004">
      <c r="B796" t="s">
        <v>42</v>
      </c>
      <c r="C796">
        <v>217</v>
      </c>
    </row>
    <row r="797" spans="2:4" x14ac:dyDescent="0.55000000000000004">
      <c r="B797" t="s">
        <v>1726</v>
      </c>
      <c r="C797">
        <v>96</v>
      </c>
    </row>
    <row r="813" spans="3:5" x14ac:dyDescent="0.55000000000000004">
      <c r="C813" s="9">
        <f>Quarts!U3</f>
        <v>4618</v>
      </c>
      <c r="D813">
        <v>243000</v>
      </c>
      <c r="E813">
        <f>D813/C813</f>
        <v>52.620181896925075</v>
      </c>
    </row>
    <row r="814" spans="3:5" x14ac:dyDescent="0.55000000000000004">
      <c r="C814">
        <f>Quarts!U63</f>
        <v>78.852000000000004</v>
      </c>
      <c r="D814">
        <v>414</v>
      </c>
      <c r="E814">
        <f>D814/C814</f>
        <v>5.2503424136356713</v>
      </c>
    </row>
    <row r="815" spans="3:5" x14ac:dyDescent="0.55000000000000004">
      <c r="C815" s="3">
        <f>C814/C813</f>
        <v>1.7074924209614553E-2</v>
      </c>
      <c r="D815" s="3">
        <f>D814/D813</f>
        <v>1.7037037037037038E-3</v>
      </c>
      <c r="E815" s="2">
        <f>D815/C815</f>
        <v>9.9778112206458977E-2</v>
      </c>
    </row>
    <row r="818" spans="2:4" x14ac:dyDescent="0.55000000000000004">
      <c r="C818" t="s">
        <v>1241</v>
      </c>
      <c r="D818" t="s">
        <v>1733</v>
      </c>
    </row>
    <row r="819" spans="2:4" x14ac:dyDescent="0.55000000000000004">
      <c r="B819" t="s">
        <v>1727</v>
      </c>
      <c r="C819" s="2">
        <v>0.25</v>
      </c>
      <c r="D819" s="2">
        <v>0.21</v>
      </c>
    </row>
    <row r="820" spans="2:4" x14ac:dyDescent="0.55000000000000004">
      <c r="B820" t="s">
        <v>1728</v>
      </c>
      <c r="C820" s="2">
        <v>0.21</v>
      </c>
      <c r="D820" s="2">
        <v>0.09</v>
      </c>
    </row>
    <row r="821" spans="2:4" x14ac:dyDescent="0.55000000000000004">
      <c r="B821" t="s">
        <v>1729</v>
      </c>
      <c r="C821" s="2">
        <v>0.18</v>
      </c>
      <c r="D821" s="2">
        <v>0.11</v>
      </c>
    </row>
    <row r="822" spans="2:4" x14ac:dyDescent="0.55000000000000004">
      <c r="B822" t="s">
        <v>1730</v>
      </c>
      <c r="C822" s="2">
        <v>0.17</v>
      </c>
      <c r="D822" s="2">
        <v>0.11</v>
      </c>
    </row>
    <row r="823" spans="2:4" x14ac:dyDescent="0.55000000000000004">
      <c r="B823" t="s">
        <v>1731</v>
      </c>
      <c r="C823" s="2">
        <v>0.14000000000000001</v>
      </c>
      <c r="D823" s="2">
        <v>0.11</v>
      </c>
    </row>
    <row r="824" spans="2:4" x14ac:dyDescent="0.55000000000000004">
      <c r="B824" t="s">
        <v>1732</v>
      </c>
      <c r="C824" s="2">
        <v>0.11</v>
      </c>
      <c r="D824" s="2">
        <v>0.02</v>
      </c>
    </row>
    <row r="830" spans="2:4" x14ac:dyDescent="0.55000000000000004">
      <c r="B830" t="s">
        <v>1734</v>
      </c>
    </row>
    <row r="831" spans="2:4" x14ac:dyDescent="0.55000000000000004">
      <c r="C831" t="s">
        <v>1457</v>
      </c>
      <c r="D831" t="s">
        <v>1735</v>
      </c>
    </row>
    <row r="832" spans="2:4" x14ac:dyDescent="0.55000000000000004">
      <c r="B832" t="s">
        <v>273</v>
      </c>
      <c r="C832" s="2">
        <f>Quarts!U129</f>
        <v>1.1292163577398475</v>
      </c>
      <c r="D832" s="2">
        <f>0.75+0.3</f>
        <v>1.05</v>
      </c>
    </row>
    <row r="833" spans="2:4" x14ac:dyDescent="0.55000000000000004">
      <c r="B833" t="s">
        <v>390</v>
      </c>
      <c r="C833" s="2">
        <v>0.64700000000000002</v>
      </c>
      <c r="D833" s="2">
        <f>0.5+0.25</f>
        <v>0.75</v>
      </c>
    </row>
    <row r="848" spans="2:4" x14ac:dyDescent="0.55000000000000004">
      <c r="B848" s="10" t="s">
        <v>1738</v>
      </c>
    </row>
    <row r="849" spans="2:4" x14ac:dyDescent="0.55000000000000004">
      <c r="B849" s="14"/>
      <c r="C849" s="14">
        <v>2024</v>
      </c>
      <c r="D849" s="14">
        <f>C849+1</f>
        <v>2025</v>
      </c>
    </row>
    <row r="850" spans="2:4" x14ac:dyDescent="0.55000000000000004">
      <c r="B850" t="s">
        <v>1736</v>
      </c>
      <c r="C850" s="9">
        <f>Master!I195</f>
        <v>287.58875022813692</v>
      </c>
      <c r="D850" s="9">
        <f>Master!J195</f>
        <v>377.71537850000004</v>
      </c>
    </row>
    <row r="851" spans="2:4" x14ac:dyDescent="0.55000000000000004">
      <c r="B851" t="s">
        <v>3</v>
      </c>
      <c r="C851" s="9">
        <f>Master!I223</f>
        <v>195.61885639486695</v>
      </c>
      <c r="D851" s="9">
        <f>Master!J223</f>
        <v>274.67791873499999</v>
      </c>
    </row>
    <row r="852" spans="2:4" x14ac:dyDescent="0.55000000000000004">
      <c r="B852" t="s">
        <v>4</v>
      </c>
      <c r="C852" s="2">
        <f>C851/C850</f>
        <v>0.68020343716396225</v>
      </c>
      <c r="D852" s="2">
        <f>D851/D850</f>
        <v>0.72720872479646725</v>
      </c>
    </row>
    <row r="854" spans="2:4" x14ac:dyDescent="0.55000000000000004">
      <c r="B854" s="10" t="s">
        <v>1737</v>
      </c>
    </row>
    <row r="855" spans="2:4" x14ac:dyDescent="0.55000000000000004">
      <c r="B855" s="14"/>
      <c r="C855" s="14">
        <v>2024</v>
      </c>
      <c r="D855" s="14">
        <f>C855+1</f>
        <v>2025</v>
      </c>
    </row>
    <row r="856" spans="2:4" x14ac:dyDescent="0.55000000000000004">
      <c r="B856" t="s">
        <v>1736</v>
      </c>
      <c r="C856" s="9">
        <v>397.03014771468924</v>
      </c>
      <c r="D856" s="9">
        <v>477.67733680572167</v>
      </c>
    </row>
    <row r="857" spans="2:4" x14ac:dyDescent="0.55000000000000004">
      <c r="B857" t="s">
        <v>3</v>
      </c>
      <c r="C857" s="9">
        <v>289.67839010319972</v>
      </c>
      <c r="D857" s="9">
        <v>350.3032828040877</v>
      </c>
    </row>
    <row r="858" spans="2:4" x14ac:dyDescent="0.55000000000000004">
      <c r="B858" t="s">
        <v>106</v>
      </c>
      <c r="C858" s="2">
        <f>C857/C856</f>
        <v>0.72961308296257188</v>
      </c>
      <c r="D858" s="2">
        <f>D857/D856</f>
        <v>0.73334708560092554</v>
      </c>
    </row>
    <row r="860" spans="2:4" x14ac:dyDescent="0.55000000000000004">
      <c r="B860" s="10" t="s">
        <v>129</v>
      </c>
    </row>
    <row r="861" spans="2:4" x14ac:dyDescent="0.55000000000000004">
      <c r="B861" s="14"/>
      <c r="C861" s="14">
        <v>2024</v>
      </c>
      <c r="D861" s="14">
        <f>C861+1</f>
        <v>2025</v>
      </c>
    </row>
    <row r="862" spans="2:4" x14ac:dyDescent="0.55000000000000004">
      <c r="B862" t="str">
        <f>B856</f>
        <v>Gross Profit</v>
      </c>
      <c r="C862" s="2">
        <f>C850/C856-1</f>
        <v>-0.2756500938694415</v>
      </c>
      <c r="D862" s="2">
        <f>D850/D856-1</f>
        <v>-0.20926669658262986</v>
      </c>
    </row>
    <row r="863" spans="2:4" x14ac:dyDescent="0.55000000000000004">
      <c r="B863" t="str">
        <f>B857</f>
        <v>EBITDA</v>
      </c>
      <c r="C863" s="2">
        <f>C851/C857-1</f>
        <v>-0.32470331554529652</v>
      </c>
      <c r="D863" s="2">
        <f>D851/D857-1</f>
        <v>-0.21588539925668437</v>
      </c>
    </row>
    <row r="870" spans="5:16" x14ac:dyDescent="0.55000000000000004">
      <c r="E870" s="2" t="e">
        <f>Quarts!#REF!</f>
        <v>#REF!</v>
      </c>
      <c r="F870" s="2" t="e">
        <f>Quarts!#REF!</f>
        <v>#REF!</v>
      </c>
      <c r="G870" s="2" t="e">
        <f>Quarts!#REF!</f>
        <v>#REF!</v>
      </c>
      <c r="H870" s="2" t="e">
        <f>Quarts!#REF!</f>
        <v>#REF!</v>
      </c>
      <c r="I870" s="2" t="e">
        <f>Quarts!#REF!</f>
        <v>#REF!</v>
      </c>
      <c r="J870" s="2" t="e">
        <f>Quarts!#REF!</f>
        <v>#REF!</v>
      </c>
      <c r="K870" s="2" t="e">
        <f>Quarts!#REF!</f>
        <v>#REF!</v>
      </c>
      <c r="L870" s="2" t="e">
        <f>Quarts!#REF!</f>
        <v>#REF!</v>
      </c>
      <c r="M870" s="2" t="e">
        <f>Quarts!#REF!</f>
        <v>#REF!</v>
      </c>
      <c r="N870" s="2" t="e">
        <f>Quarts!#REF!</f>
        <v>#REF!</v>
      </c>
      <c r="O870" s="2" t="e">
        <f>Quarts!#REF!</f>
        <v>#REF!</v>
      </c>
      <c r="P870" s="2" t="e">
        <f>Quarts!#REF!</f>
        <v>#REF!</v>
      </c>
    </row>
    <row r="871" spans="5:16" x14ac:dyDescent="0.55000000000000004">
      <c r="E871" s="2">
        <f>Quarts!AS79</f>
        <v>0.87389865474706685</v>
      </c>
      <c r="F871" s="2">
        <f>Quarts!AT79</f>
        <v>0.46745562130177531</v>
      </c>
      <c r="G871" s="2">
        <f>Quarts!AU79</f>
        <v>0.56404598769016356</v>
      </c>
      <c r="H871" s="2">
        <f>Quarts!AV79</f>
        <v>0.41645244215938315</v>
      </c>
      <c r="I871" s="2">
        <f>Quarts!AW79</f>
        <v>0.41743119266055051</v>
      </c>
      <c r="J871" s="2">
        <f>Quarts!AX79</f>
        <v>0.42540322580645196</v>
      </c>
      <c r="K871" s="2">
        <f>Quarts!AY79</f>
        <v>0.38290763290763286</v>
      </c>
      <c r="L871" s="2" t="e">
        <f>Quarts!#REF!</f>
        <v>#REF!</v>
      </c>
      <c r="M871" s="2" t="e">
        <f>Quarts!#REF!</f>
        <v>#REF!</v>
      </c>
      <c r="N871" s="2">
        <f>Quarts!BB79</f>
        <v>-7.553041018387574E-2</v>
      </c>
      <c r="O871" s="2">
        <f>Quarts!BC79</f>
        <v>-2.6845637583893245E-3</v>
      </c>
      <c r="P871" s="2">
        <f>Quarts!BD79</f>
        <v>0.21500357980167228</v>
      </c>
    </row>
    <row r="893" spans="2:12" x14ac:dyDescent="0.55000000000000004">
      <c r="C893" s="43" t="s">
        <v>1769</v>
      </c>
      <c r="D893" s="43" t="s">
        <v>1770</v>
      </c>
      <c r="E893" s="43" t="s">
        <v>1589</v>
      </c>
      <c r="F893" s="43" t="s">
        <v>1583</v>
      </c>
      <c r="G893" s="43" t="s">
        <v>1582</v>
      </c>
      <c r="H893" s="43" t="s">
        <v>1581</v>
      </c>
      <c r="I893" s="43" t="s">
        <v>1580</v>
      </c>
      <c r="J893" s="43" t="s">
        <v>1579</v>
      </c>
      <c r="K893" s="43" t="s">
        <v>1578</v>
      </c>
      <c r="L893" s="43" t="s">
        <v>1771</v>
      </c>
    </row>
    <row r="894" spans="2:12" x14ac:dyDescent="0.55000000000000004">
      <c r="B894" t="s">
        <v>117</v>
      </c>
      <c r="C894" s="9">
        <f>Quarts!C63+Quarts!D63</f>
        <v>13.516505505505506</v>
      </c>
      <c r="D894" s="9">
        <f>Quarts!D63+Quarts!E63</f>
        <v>20.894373945373946</v>
      </c>
      <c r="E894" s="9">
        <f>Quarts!G63+Quarts!H63</f>
        <v>23.499285184531168</v>
      </c>
      <c r="F894" s="9">
        <f>Quarts!I63+Quarts!J63</f>
        <v>39.236021366766735</v>
      </c>
      <c r="G894" s="9">
        <f>Quarts!K63+Quarts!L63</f>
        <v>59.589999999999996</v>
      </c>
      <c r="H894" s="9">
        <f>Quarts!M63+Quarts!N63</f>
        <v>77.222000000000008</v>
      </c>
      <c r="I894" s="9">
        <f>Quarts!O63+Quarts!P63</f>
        <v>98.2</v>
      </c>
      <c r="J894" s="9">
        <f>Quarts!Q63+Quarts!R63</f>
        <v>114.54900000000001</v>
      </c>
      <c r="K894" s="9">
        <f>Quarts!S63+Quarts!T63</f>
        <v>140.00000000000003</v>
      </c>
      <c r="L894" s="9">
        <f>Quarts!U63+Quarts!V63</f>
        <v>154.50111856823267</v>
      </c>
    </row>
    <row r="895" spans="2:12" x14ac:dyDescent="0.55000000000000004">
      <c r="B895" t="s">
        <v>1768</v>
      </c>
      <c r="C895" s="2">
        <v>0.9</v>
      </c>
      <c r="D895" s="2">
        <v>0.9</v>
      </c>
      <c r="E895" s="2">
        <v>0.9</v>
      </c>
      <c r="F895" s="2">
        <v>0.9</v>
      </c>
      <c r="G895" s="2">
        <v>0.9</v>
      </c>
      <c r="H895" s="2">
        <v>0.9</v>
      </c>
      <c r="I895" s="2">
        <v>0.9</v>
      </c>
      <c r="J895" s="2">
        <v>0.9</v>
      </c>
      <c r="K895" s="2">
        <v>0.9</v>
      </c>
      <c r="L895" s="2">
        <v>0.9</v>
      </c>
    </row>
    <row r="896" spans="2:12" x14ac:dyDescent="0.55000000000000004">
      <c r="B896" t="s">
        <v>1772</v>
      </c>
      <c r="C896" s="9">
        <f>C894*C895</f>
        <v>12.164854954954956</v>
      </c>
      <c r="D896" s="9">
        <f t="shared" ref="D896:L896" si="50">D894*D895</f>
        <v>18.804936550836551</v>
      </c>
      <c r="E896" s="9">
        <f t="shared" si="50"/>
        <v>21.149356666078052</v>
      </c>
      <c r="F896" s="9">
        <f t="shared" si="50"/>
        <v>35.312419230090065</v>
      </c>
      <c r="G896" s="9">
        <f t="shared" si="50"/>
        <v>53.631</v>
      </c>
      <c r="H896" s="9">
        <f t="shared" si="50"/>
        <v>69.499800000000008</v>
      </c>
      <c r="I896" s="9">
        <f t="shared" si="50"/>
        <v>88.38000000000001</v>
      </c>
      <c r="J896" s="9">
        <f t="shared" si="50"/>
        <v>103.09410000000001</v>
      </c>
      <c r="K896" s="9">
        <f t="shared" si="50"/>
        <v>126.00000000000003</v>
      </c>
      <c r="L896" s="9">
        <f t="shared" si="50"/>
        <v>139.0510067114094</v>
      </c>
    </row>
    <row r="901" spans="5:10" x14ac:dyDescent="0.55000000000000004">
      <c r="E901" t="s">
        <v>1779</v>
      </c>
    </row>
    <row r="902" spans="5:10" x14ac:dyDescent="0.55000000000000004">
      <c r="H902" t="s">
        <v>1776</v>
      </c>
      <c r="I902" t="s">
        <v>1777</v>
      </c>
      <c r="J902" t="s">
        <v>1778</v>
      </c>
    </row>
    <row r="903" spans="5:10" x14ac:dyDescent="0.55000000000000004">
      <c r="E903" s="341">
        <v>41791</v>
      </c>
      <c r="F903" s="39">
        <f>48540361</f>
        <v>48540361</v>
      </c>
      <c r="G903">
        <v>26</v>
      </c>
      <c r="H903">
        <f>F903*G903</f>
        <v>1262049386</v>
      </c>
      <c r="I903">
        <v>248</v>
      </c>
      <c r="J903" s="4">
        <f>H903/I903/100000</f>
        <v>50.889088145161288</v>
      </c>
    </row>
    <row r="904" spans="5:10" x14ac:dyDescent="0.55000000000000004">
      <c r="E904" s="143">
        <v>11505</v>
      </c>
      <c r="F904" s="14">
        <f>H904/G904</f>
        <v>45433666.666666664</v>
      </c>
      <c r="G904" s="14">
        <v>30</v>
      </c>
      <c r="H904" s="14">
        <f>J904*I904*100000</f>
        <v>1363010000</v>
      </c>
      <c r="I904" s="14">
        <v>275</v>
      </c>
      <c r="J904" s="23">
        <v>49.564</v>
      </c>
    </row>
    <row r="905" spans="5:10" x14ac:dyDescent="0.55000000000000004">
      <c r="F905">
        <f>SUM(F903:F904)</f>
        <v>93974027.666666657</v>
      </c>
      <c r="J905" s="4">
        <f>SUM(J903:J904)</f>
        <v>100.45308814516129</v>
      </c>
    </row>
    <row r="913" spans="2:35" x14ac:dyDescent="0.55000000000000004">
      <c r="B913" s="10" t="s">
        <v>1787</v>
      </c>
      <c r="D913" s="10" t="s">
        <v>1789</v>
      </c>
      <c r="H913" s="10" t="s">
        <v>1782</v>
      </c>
      <c r="L913" s="10" t="s">
        <v>1766</v>
      </c>
      <c r="Q913" s="10" t="s">
        <v>1783</v>
      </c>
      <c r="Y913" t="s">
        <v>1767</v>
      </c>
    </row>
    <row r="914" spans="2:35" x14ac:dyDescent="0.55000000000000004">
      <c r="B914" s="5"/>
      <c r="C914" s="5"/>
      <c r="D914" s="5" t="s">
        <v>1293</v>
      </c>
      <c r="E914" s="5" t="s">
        <v>1457</v>
      </c>
      <c r="F914" s="5" t="s">
        <v>1784</v>
      </c>
      <c r="G914" s="5"/>
      <c r="H914" s="5" t="s">
        <v>1293</v>
      </c>
      <c r="I914" s="5" t="s">
        <v>1457</v>
      </c>
      <c r="J914" s="5" t="s">
        <v>1784</v>
      </c>
      <c r="K914" s="5"/>
      <c r="L914" s="5" t="s">
        <v>1240</v>
      </c>
      <c r="M914" s="5" t="s">
        <v>1293</v>
      </c>
      <c r="N914" s="5" t="s">
        <v>1457</v>
      </c>
      <c r="O914" s="5" t="s">
        <v>1784</v>
      </c>
      <c r="P914" s="5"/>
      <c r="Q914" s="5" t="s">
        <v>1293</v>
      </c>
      <c r="R914" s="5" t="s">
        <v>1457</v>
      </c>
      <c r="S914" s="5" t="s">
        <v>1784</v>
      </c>
      <c r="T914" s="5"/>
      <c r="U914" s="5" t="str">
        <f>R914</f>
        <v>Q3 23</v>
      </c>
      <c r="V914" s="5" t="str">
        <f>S914</f>
        <v>Q4 24</v>
      </c>
      <c r="Z914" t="s">
        <v>598</v>
      </c>
      <c r="AA914" t="s">
        <v>1757</v>
      </c>
      <c r="AD914" t="s">
        <v>1758</v>
      </c>
      <c r="AE914" t="s">
        <v>1761</v>
      </c>
      <c r="AH914" t="s">
        <v>1759</v>
      </c>
    </row>
    <row r="915" spans="2:35" x14ac:dyDescent="0.55000000000000004">
      <c r="B915" t="s">
        <v>1785</v>
      </c>
      <c r="H915">
        <v>100</v>
      </c>
      <c r="I915">
        <v>100</v>
      </c>
      <c r="J915">
        <v>100</v>
      </c>
      <c r="L915">
        <v>209</v>
      </c>
      <c r="M915">
        <v>257</v>
      </c>
      <c r="N915">
        <v>350</v>
      </c>
      <c r="O915">
        <v>808</v>
      </c>
      <c r="Q915">
        <f>H915*M915</f>
        <v>25700</v>
      </c>
      <c r="R915">
        <f>I915*N915</f>
        <v>35000</v>
      </c>
      <c r="S915">
        <f>J915*O915</f>
        <v>80800</v>
      </c>
      <c r="T915" s="37" t="s">
        <v>1780</v>
      </c>
      <c r="U915" s="9">
        <f>(R915-Q915)/AVERAGE(M915,N915)</f>
        <v>30.642504118616145</v>
      </c>
      <c r="V915" s="9">
        <f>(S915-R915)/AVERAGE(N915,O915)</f>
        <v>79.101899827288435</v>
      </c>
      <c r="Y915" t="s">
        <v>1756</v>
      </c>
      <c r="Z915">
        <v>100</v>
      </c>
      <c r="AA915">
        <v>400</v>
      </c>
      <c r="AB915">
        <f>Z915*AA915</f>
        <v>40000</v>
      </c>
      <c r="AD915">
        <v>100</v>
      </c>
      <c r="AE915">
        <v>800</v>
      </c>
      <c r="AF915">
        <f>AD915*AE915</f>
        <v>80000</v>
      </c>
      <c r="AH915">
        <f>AF915-AB915</f>
        <v>40000</v>
      </c>
      <c r="AI915">
        <f>600</f>
        <v>600</v>
      </c>
    </row>
    <row r="916" spans="2:35" x14ac:dyDescent="0.55000000000000004">
      <c r="B916" s="56" t="s">
        <v>1788</v>
      </c>
      <c r="T916" s="37"/>
      <c r="U916" s="56">
        <v>27</v>
      </c>
    </row>
    <row r="917" spans="2:35" x14ac:dyDescent="0.55000000000000004">
      <c r="B917" t="s">
        <v>1786</v>
      </c>
      <c r="C917" s="39"/>
      <c r="D917">
        <v>27</v>
      </c>
      <c r="E917">
        <v>35</v>
      </c>
      <c r="F917">
        <v>82</v>
      </c>
      <c r="H917" s="9">
        <f>$F$905*D917/M915/100000</f>
        <v>98.727577704280137</v>
      </c>
      <c r="I917" s="9">
        <f>$F$905*E917/N915/100000</f>
        <v>93.974027666666657</v>
      </c>
      <c r="J917" s="9">
        <f>$F$905*F917/O915/100000</f>
        <v>95.369681542904289</v>
      </c>
      <c r="Q917" s="9">
        <f>H917*M915</f>
        <v>25372.987469999996</v>
      </c>
      <c r="R917" s="9">
        <f>I917*N915</f>
        <v>32890.909683333331</v>
      </c>
      <c r="S917" s="9">
        <f>J917*O915</f>
        <v>77058.702686666671</v>
      </c>
      <c r="T917" s="37" t="s">
        <v>1781</v>
      </c>
      <c r="U917" s="9">
        <f>(R917-Q917)/AVERAGE(M915,N915)</f>
        <v>24.77074864360242</v>
      </c>
      <c r="V917" s="9">
        <f>(S917-R917)/AVERAGE(N915,O915)</f>
        <v>76.282889470351193</v>
      </c>
    </row>
    <row r="918" spans="2:35" x14ac:dyDescent="0.55000000000000004">
      <c r="U918" s="56">
        <v>24</v>
      </c>
    </row>
    <row r="919" spans="2:35" x14ac:dyDescent="0.55000000000000004">
      <c r="B919" t="s">
        <v>1790</v>
      </c>
    </row>
    <row r="920" spans="2:35" x14ac:dyDescent="0.55000000000000004">
      <c r="B920" t="s">
        <v>1791</v>
      </c>
    </row>
    <row r="921" spans="2:35" x14ac:dyDescent="0.55000000000000004">
      <c r="B921" t="s">
        <v>1792</v>
      </c>
    </row>
    <row r="923" spans="2:35" x14ac:dyDescent="0.55000000000000004">
      <c r="B923" t="s">
        <v>1794</v>
      </c>
    </row>
    <row r="924" spans="2:35" x14ac:dyDescent="0.55000000000000004">
      <c r="B924" t="s">
        <v>1795</v>
      </c>
    </row>
    <row r="925" spans="2:35" x14ac:dyDescent="0.55000000000000004">
      <c r="B925" t="s">
        <v>1796</v>
      </c>
    </row>
    <row r="927" spans="2:35" x14ac:dyDescent="0.55000000000000004">
      <c r="C927" s="54" t="s">
        <v>1738</v>
      </c>
      <c r="D927" s="54" t="s">
        <v>1738</v>
      </c>
      <c r="E927" s="54" t="s">
        <v>1738</v>
      </c>
      <c r="G927" s="54" t="s">
        <v>1737</v>
      </c>
      <c r="H927" s="54" t="s">
        <v>1737</v>
      </c>
      <c r="I927" s="54" t="s">
        <v>1737</v>
      </c>
      <c r="K927" s="54" t="s">
        <v>1908</v>
      </c>
      <c r="L927" s="54" t="s">
        <v>1908</v>
      </c>
      <c r="M927" s="54" t="s">
        <v>1908</v>
      </c>
    </row>
    <row r="928" spans="2:35" x14ac:dyDescent="0.55000000000000004">
      <c r="B928" s="1" t="s">
        <v>2</v>
      </c>
      <c r="C928" s="1">
        <v>2024</v>
      </c>
      <c r="D928" s="1">
        <f>C928+1</f>
        <v>2025</v>
      </c>
      <c r="E928" s="1">
        <f>D928+1</f>
        <v>2026</v>
      </c>
      <c r="F928" s="14"/>
      <c r="G928" s="1">
        <v>2024</v>
      </c>
      <c r="H928" s="1">
        <f>G928+1</f>
        <v>2025</v>
      </c>
      <c r="I928" s="1">
        <f>H928+1</f>
        <v>2026</v>
      </c>
      <c r="J928" s="14"/>
      <c r="K928" s="1">
        <v>2024</v>
      </c>
      <c r="L928" s="1">
        <f>K928+1</f>
        <v>2025</v>
      </c>
      <c r="M928" s="1">
        <f>L928+1</f>
        <v>2026</v>
      </c>
    </row>
    <row r="929" spans="2:13" x14ac:dyDescent="0.55000000000000004">
      <c r="B929" s="294" t="s">
        <v>1909</v>
      </c>
      <c r="C929" s="348">
        <f>Master!I43</f>
        <v>25.876946768718458</v>
      </c>
      <c r="D929" s="348">
        <f>Master!J43</f>
        <v>35.822434701840464</v>
      </c>
      <c r="E929" s="348">
        <f>Master!K43</f>
        <v>46.513970674718657</v>
      </c>
      <c r="F929" s="294"/>
      <c r="G929" s="348">
        <v>26.235828409745753</v>
      </c>
      <c r="H929" s="348">
        <v>36.895348019136996</v>
      </c>
      <c r="I929" s="348">
        <v>50.428242836996546</v>
      </c>
      <c r="J929" s="294"/>
      <c r="K929" s="349">
        <f t="shared" ref="K929:M931" si="51">C929/G929-1</f>
        <v>-1.3679066482001456E-2</v>
      </c>
      <c r="L929" s="349">
        <f t="shared" si="51"/>
        <v>-2.9079907763440271E-2</v>
      </c>
      <c r="M929" s="349">
        <f t="shared" si="51"/>
        <v>-7.7620633638382341E-2</v>
      </c>
    </row>
    <row r="930" spans="2:13" x14ac:dyDescent="0.55000000000000004">
      <c r="B930" t="s">
        <v>130</v>
      </c>
      <c r="C930" s="9">
        <f>Master!I98</f>
        <v>794.83371482889743</v>
      </c>
      <c r="D930" s="9">
        <f>Master!J98</f>
        <v>999.13239999999996</v>
      </c>
      <c r="E930" s="9">
        <f>Master!K98</f>
        <v>1257.1456580882355</v>
      </c>
      <c r="G930" s="9">
        <v>839.54650911186411</v>
      </c>
      <c r="H930" s="9">
        <v>1117.9290449798509</v>
      </c>
      <c r="I930" s="9">
        <v>1452.3333937055006</v>
      </c>
      <c r="K930" s="3">
        <f t="shared" si="51"/>
        <v>-5.3258269551102355E-2</v>
      </c>
      <c r="L930" s="3">
        <f t="shared" si="51"/>
        <v>-0.10626492398002962</v>
      </c>
      <c r="M930" s="3">
        <f t="shared" si="51"/>
        <v>-0.13439595650917369</v>
      </c>
    </row>
    <row r="931" spans="2:13" x14ac:dyDescent="0.55000000000000004">
      <c r="B931" s="294" t="s">
        <v>105</v>
      </c>
      <c r="C931" s="350">
        <f>Master!I195</f>
        <v>287.58875022813692</v>
      </c>
      <c r="D931" s="350">
        <f>Master!J195</f>
        <v>377.71537850000004</v>
      </c>
      <c r="E931" s="350">
        <f>Master!K195</f>
        <v>475.73018680147061</v>
      </c>
      <c r="F931" s="226"/>
      <c r="G931" s="350">
        <v>389.0366353668561</v>
      </c>
      <c r="H931" s="350">
        <v>520.7865478636719</v>
      </c>
      <c r="I931" s="350">
        <v>680.1418597962446</v>
      </c>
      <c r="J931" s="226"/>
      <c r="K931" s="268">
        <f t="shared" si="51"/>
        <v>-0.26076691991502354</v>
      </c>
      <c r="L931" s="268">
        <f t="shared" si="51"/>
        <v>-0.27472132287319395</v>
      </c>
      <c r="M931" s="268">
        <f t="shared" si="51"/>
        <v>-0.3005427030414084</v>
      </c>
    </row>
    <row r="932" spans="2:13" x14ac:dyDescent="0.55000000000000004">
      <c r="B932" t="s">
        <v>1905</v>
      </c>
      <c r="C932" s="137">
        <f>Master!I198</f>
        <v>1.1113704904930698E-2</v>
      </c>
      <c r="D932" s="137">
        <f>Master!J198</f>
        <v>1.0544101249505354E-2</v>
      </c>
      <c r="E932" s="137">
        <f>Master!K198</f>
        <v>1.0227683852843812E-2</v>
      </c>
      <c r="F932" s="137"/>
      <c r="G932" s="137">
        <v>1.4828448688219873E-2</v>
      </c>
      <c r="H932" s="137">
        <v>1.4115236088667566E-2</v>
      </c>
      <c r="I932" s="137">
        <v>1.3487320230346402E-2</v>
      </c>
    </row>
    <row r="933" spans="2:13" x14ac:dyDescent="0.55000000000000004">
      <c r="B933" s="226" t="s">
        <v>1906</v>
      </c>
      <c r="C933" s="228">
        <f>C931-C934</f>
        <v>91.969893833269964</v>
      </c>
      <c r="D933" s="228">
        <f>D931-D934</f>
        <v>103.03745976500005</v>
      </c>
      <c r="E933" s="228">
        <f>E931-E934</f>
        <v>131.46175417242648</v>
      </c>
      <c r="F933" s="226"/>
      <c r="G933" s="228">
        <v>111.98628735994095</v>
      </c>
      <c r="H933" s="228">
        <v>135.10102734562338</v>
      </c>
      <c r="I933" s="228">
        <v>171.82517199931942</v>
      </c>
      <c r="J933" s="226"/>
      <c r="K933" s="268">
        <f t="shared" ref="K933:M936" si="52">C933/G933-1</f>
        <v>-0.17873968321081357</v>
      </c>
      <c r="L933" s="268">
        <f t="shared" si="52"/>
        <v>-0.23733030170523006</v>
      </c>
      <c r="M933" s="268">
        <f t="shared" si="52"/>
        <v>-0.23490980603850531</v>
      </c>
    </row>
    <row r="934" spans="2:13" x14ac:dyDescent="0.55000000000000004">
      <c r="B934" s="10" t="s">
        <v>3</v>
      </c>
      <c r="C934" s="347">
        <f>Master!I223</f>
        <v>195.61885639486695</v>
      </c>
      <c r="D934" s="347">
        <f>Master!J223</f>
        <v>274.67791873499999</v>
      </c>
      <c r="E934" s="347">
        <f>Master!K223</f>
        <v>344.26843262904413</v>
      </c>
      <c r="F934" s="10"/>
      <c r="G934" s="347">
        <v>277.05034800691516</v>
      </c>
      <c r="H934" s="347">
        <v>385.68552051804852</v>
      </c>
      <c r="I934" s="347">
        <v>508.31668779692518</v>
      </c>
      <c r="J934" s="10"/>
      <c r="K934" s="47">
        <f t="shared" si="52"/>
        <v>-0.29392308003892376</v>
      </c>
      <c r="L934" s="47">
        <f t="shared" si="52"/>
        <v>-0.28781895061537277</v>
      </c>
      <c r="M934" s="47">
        <f t="shared" si="52"/>
        <v>-0.32272844686424906</v>
      </c>
    </row>
    <row r="935" spans="2:13" x14ac:dyDescent="0.55000000000000004">
      <c r="B935" s="226" t="s">
        <v>109</v>
      </c>
      <c r="C935" s="228">
        <f>Master!I230</f>
        <v>163.2394188834601</v>
      </c>
      <c r="D935" s="228">
        <f>Master!J230</f>
        <v>244.29214981000001</v>
      </c>
      <c r="E935" s="228">
        <f>Master!K230</f>
        <v>308.98192328897062</v>
      </c>
      <c r="F935" s="226"/>
      <c r="G935" s="228">
        <v>258.04369941540665</v>
      </c>
      <c r="H935" s="228">
        <v>360.7501258641833</v>
      </c>
      <c r="I935" s="228">
        <v>476.21030410609416</v>
      </c>
      <c r="J935" s="226"/>
      <c r="K935" s="268">
        <f t="shared" si="52"/>
        <v>-0.3673962229913923</v>
      </c>
      <c r="L935" s="268">
        <f t="shared" si="52"/>
        <v>-0.32282171981286534</v>
      </c>
      <c r="M935" s="268">
        <f t="shared" si="52"/>
        <v>-0.35116497768991362</v>
      </c>
    </row>
    <row r="936" spans="2:13" x14ac:dyDescent="0.55000000000000004">
      <c r="B936" t="s">
        <v>110</v>
      </c>
      <c r="C936" s="9">
        <f>Master!I234</f>
        <v>130.59153510676808</v>
      </c>
      <c r="D936" s="9">
        <f>Master!J234</f>
        <v>195.43371984800001</v>
      </c>
      <c r="E936" s="9">
        <f>Master!K234</f>
        <v>247.18553863117648</v>
      </c>
      <c r="G936" s="9">
        <v>219.33714450309566</v>
      </c>
      <c r="H936" s="9">
        <v>306.63760698455582</v>
      </c>
      <c r="I936" s="9">
        <v>404.77875849018005</v>
      </c>
      <c r="K936" s="3">
        <f t="shared" si="52"/>
        <v>-0.40460820987425161</v>
      </c>
      <c r="L936" s="3">
        <f t="shared" si="52"/>
        <v>-0.36265573629446157</v>
      </c>
      <c r="M936" s="3">
        <f t="shared" si="52"/>
        <v>-0.38933174370815404</v>
      </c>
    </row>
    <row r="937" spans="2:13" x14ac:dyDescent="0.55000000000000004">
      <c r="B937" s="226"/>
      <c r="C937" s="226"/>
      <c r="D937" s="226"/>
      <c r="E937" s="226"/>
      <c r="F937" s="226"/>
      <c r="G937" s="226"/>
      <c r="H937" s="226"/>
      <c r="I937" s="226"/>
      <c r="J937" s="226"/>
      <c r="K937" s="226"/>
      <c r="L937" s="226"/>
      <c r="M937" s="226"/>
    </row>
    <row r="938" spans="2:13" x14ac:dyDescent="0.55000000000000004">
      <c r="B938" s="10" t="s">
        <v>130</v>
      </c>
    </row>
    <row r="939" spans="2:13" x14ac:dyDescent="0.55000000000000004">
      <c r="B939" s="226" t="s">
        <v>64</v>
      </c>
      <c r="C939" s="229">
        <f>Master!I102</f>
        <v>227.47471482889736</v>
      </c>
      <c r="D939" s="229">
        <f>Master!J102</f>
        <v>299.12925000000001</v>
      </c>
      <c r="E939" s="229">
        <f>Master!K102</f>
        <v>381.24316176470592</v>
      </c>
      <c r="F939" s="229"/>
      <c r="G939" s="229">
        <v>211.07617793317792</v>
      </c>
      <c r="H939" s="229">
        <v>269.01865815012877</v>
      </c>
      <c r="I939" s="229">
        <v>356.05410637517048</v>
      </c>
      <c r="J939" s="226"/>
      <c r="K939" s="268">
        <f t="shared" ref="K939:M946" si="53">C939/G939-1</f>
        <v>7.7690135648139647E-2</v>
      </c>
      <c r="L939" s="268">
        <f t="shared" si="53"/>
        <v>0.1119275222652687</v>
      </c>
      <c r="M939" s="268">
        <f t="shared" si="53"/>
        <v>7.0745021440629108E-2</v>
      </c>
    </row>
    <row r="940" spans="2:13" x14ac:dyDescent="0.55000000000000004">
      <c r="B940" t="s">
        <v>68</v>
      </c>
      <c r="C940" s="13">
        <f>Master!I117</f>
        <v>155.34400000000002</v>
      </c>
      <c r="D940" s="13">
        <f>Master!J117</f>
        <v>209.71440000000004</v>
      </c>
      <c r="E940" s="13">
        <f>Master!K117</f>
        <v>267.28305882352947</v>
      </c>
      <c r="F940" s="13"/>
      <c r="G940" s="13">
        <v>157.82400000000001</v>
      </c>
      <c r="H940" s="13">
        <v>201.14823529411771</v>
      </c>
      <c r="I940" s="13">
        <v>266.2256055363323</v>
      </c>
      <c r="K940" s="3">
        <f t="shared" si="53"/>
        <v>-1.5713706407136985E-2</v>
      </c>
      <c r="L940" s="3">
        <f t="shared" si="53"/>
        <v>4.2586327905670851E-2</v>
      </c>
      <c r="M940" s="3">
        <f t="shared" si="53"/>
        <v>3.9720194647199225E-3</v>
      </c>
    </row>
    <row r="941" spans="2:13" x14ac:dyDescent="0.55000000000000004">
      <c r="B941" s="226" t="s">
        <v>75</v>
      </c>
      <c r="C941" s="229">
        <f>Master!I112</f>
        <v>64</v>
      </c>
      <c r="D941" s="229">
        <f>Master!J112</f>
        <v>75.52</v>
      </c>
      <c r="E941" s="229">
        <f>Master!K112</f>
        <v>79.295999999999992</v>
      </c>
      <c r="F941" s="229"/>
      <c r="G941" s="229">
        <v>85.93641493384068</v>
      </c>
      <c r="H941" s="229">
        <v>90.233235680532715</v>
      </c>
      <c r="I941" s="229">
        <v>94.744897464559358</v>
      </c>
      <c r="J941" s="226"/>
      <c r="K941" s="268">
        <f t="shared" si="53"/>
        <v>-0.25526332406033847</v>
      </c>
      <c r="L941" s="268">
        <f t="shared" si="53"/>
        <v>-0.16305783084876135</v>
      </c>
      <c r="M941" s="268">
        <f t="shared" si="53"/>
        <v>-0.16305783084876146</v>
      </c>
    </row>
    <row r="942" spans="2:13" x14ac:dyDescent="0.55000000000000004">
      <c r="B942" t="s">
        <v>74</v>
      </c>
      <c r="C942" s="13">
        <f>Master!I122</f>
        <v>59</v>
      </c>
      <c r="D942" s="13">
        <f>Master!J122</f>
        <v>73.75</v>
      </c>
      <c r="E942" s="13">
        <f>Master!K122</f>
        <v>92.1875</v>
      </c>
      <c r="F942" s="13"/>
      <c r="G942" s="13">
        <v>54.899000000000001</v>
      </c>
      <c r="H942" s="13">
        <v>63.133849999999995</v>
      </c>
      <c r="I942" s="13">
        <v>78.917312499999994</v>
      </c>
      <c r="K942" s="3">
        <f t="shared" si="53"/>
        <v>7.4700814222481204E-2</v>
      </c>
      <c r="L942" s="3">
        <f t="shared" si="53"/>
        <v>0.16815305893747978</v>
      </c>
      <c r="M942" s="3">
        <f t="shared" si="53"/>
        <v>0.16815305893747978</v>
      </c>
    </row>
    <row r="943" spans="2:13" x14ac:dyDescent="0.55000000000000004">
      <c r="B943" s="226" t="s">
        <v>79</v>
      </c>
      <c r="C943" s="229">
        <f>Master!I127</f>
        <v>99.014999999999986</v>
      </c>
      <c r="D943" s="229">
        <f>Master!J127</f>
        <v>123.76874999999998</v>
      </c>
      <c r="E943" s="229">
        <f>Master!K127</f>
        <v>154.71093749999997</v>
      </c>
      <c r="F943" s="229"/>
      <c r="G943" s="229">
        <v>128.1220909090909</v>
      </c>
      <c r="H943" s="229">
        <v>166.55871818181816</v>
      </c>
      <c r="I943" s="229">
        <v>216.52633363636363</v>
      </c>
      <c r="J943" s="226"/>
      <c r="K943" s="268">
        <f t="shared" si="53"/>
        <v>-0.22718245310048735</v>
      </c>
      <c r="L943" s="268">
        <f t="shared" si="53"/>
        <v>-0.25690620490431471</v>
      </c>
      <c r="M943" s="268">
        <f t="shared" si="53"/>
        <v>-0.2854867354849181</v>
      </c>
    </row>
    <row r="944" spans="2:13" x14ac:dyDescent="0.55000000000000004">
      <c r="B944" t="s">
        <v>69</v>
      </c>
      <c r="C944" s="13">
        <f>Master!I136</f>
        <v>43</v>
      </c>
      <c r="D944" s="13">
        <f>Master!J136</f>
        <v>66.650000000000006</v>
      </c>
      <c r="E944" s="13">
        <f>Master!K136</f>
        <v>86.64500000000001</v>
      </c>
      <c r="F944" s="13"/>
      <c r="G944" s="13">
        <v>86.980153608388221</v>
      </c>
      <c r="H944" s="13">
        <v>126.12122273216292</v>
      </c>
      <c r="I944" s="13">
        <v>163.95758955181179</v>
      </c>
      <c r="K944" s="3">
        <f t="shared" si="53"/>
        <v>-0.50563435202012386</v>
      </c>
      <c r="L944" s="3">
        <f t="shared" si="53"/>
        <v>-0.47154016940082211</v>
      </c>
      <c r="M944" s="3">
        <f t="shared" si="53"/>
        <v>-0.471540169400822</v>
      </c>
    </row>
    <row r="945" spans="2:16" x14ac:dyDescent="0.55000000000000004">
      <c r="B945" s="235" t="s">
        <v>1907</v>
      </c>
      <c r="C945" s="351">
        <f>Master!I146</f>
        <v>62</v>
      </c>
      <c r="D945" s="351">
        <f>Master!J146</f>
        <v>80.600000000000009</v>
      </c>
      <c r="E945" s="351">
        <f>Master!K146</f>
        <v>104.78000000000002</v>
      </c>
      <c r="F945" s="351"/>
      <c r="G945" s="351">
        <v>114.70867172736637</v>
      </c>
      <c r="H945" s="351">
        <v>201.71512494109047</v>
      </c>
      <c r="I945" s="351">
        <v>275.90754864126313</v>
      </c>
      <c r="J945" s="235"/>
      <c r="K945" s="345">
        <f t="shared" si="53"/>
        <v>-0.4595003231546575</v>
      </c>
      <c r="L945" s="345">
        <f t="shared" si="53"/>
        <v>-0.60042659159277867</v>
      </c>
      <c r="M945" s="345">
        <f t="shared" si="53"/>
        <v>-0.62023510949228977</v>
      </c>
    </row>
    <row r="946" spans="2:16" x14ac:dyDescent="0.55000000000000004">
      <c r="B946" s="10" t="s">
        <v>243</v>
      </c>
      <c r="C946" s="352">
        <f>SUM(C939:C945)</f>
        <v>709.83371482889743</v>
      </c>
      <c r="D946" s="352">
        <f>SUM(D939:D945)</f>
        <v>929.13239999999996</v>
      </c>
      <c r="E946" s="352">
        <f>SUM(E939:E945)</f>
        <v>1166.1456580882355</v>
      </c>
      <c r="F946" s="13"/>
      <c r="G946" s="352">
        <v>839.54650911186411</v>
      </c>
      <c r="H946" s="352">
        <v>1117.9290449798509</v>
      </c>
      <c r="I946" s="352">
        <v>1452.3333937055004</v>
      </c>
      <c r="K946" s="47">
        <f t="shared" si="53"/>
        <v>-0.1545034049634566</v>
      </c>
      <c r="L946" s="47">
        <f t="shared" si="53"/>
        <v>-0.16888070475282602</v>
      </c>
      <c r="M946" s="47">
        <f t="shared" si="53"/>
        <v>-0.19705374596330272</v>
      </c>
    </row>
    <row r="948" spans="2:16" x14ac:dyDescent="0.55000000000000004">
      <c r="C948" s="54" t="s">
        <v>229</v>
      </c>
      <c r="H948" s="54" t="s">
        <v>222</v>
      </c>
      <c r="M948" s="54" t="s">
        <v>1910</v>
      </c>
    </row>
    <row r="949" spans="2:16" x14ac:dyDescent="0.55000000000000004">
      <c r="B949" s="1" t="s">
        <v>325</v>
      </c>
      <c r="C949" s="5" t="e">
        <f>Quarts!#REF!</f>
        <v>#REF!</v>
      </c>
      <c r="D949" s="5" t="str">
        <f>Quarts!Y2</f>
        <v>Q2 24E</v>
      </c>
      <c r="E949" s="5" t="str">
        <f>Quarts!Z2</f>
        <v>Q3 24E</v>
      </c>
      <c r="F949" s="5" t="str">
        <f>Quarts!AA2</f>
        <v>Q4 24E</v>
      </c>
      <c r="G949" s="14"/>
      <c r="H949" s="5" t="e">
        <f>C949</f>
        <v>#REF!</v>
      </c>
      <c r="I949" s="5" t="str">
        <f t="shared" ref="I949:K949" si="54">D949</f>
        <v>Q2 24E</v>
      </c>
      <c r="J949" s="5" t="str">
        <f t="shared" si="54"/>
        <v>Q3 24E</v>
      </c>
      <c r="K949" s="5" t="str">
        <f t="shared" si="54"/>
        <v>Q4 24E</v>
      </c>
      <c r="L949" s="14"/>
      <c r="M949" s="5" t="e">
        <f>H949</f>
        <v>#REF!</v>
      </c>
      <c r="N949" s="5" t="str">
        <f t="shared" ref="N949:P949" si="55">I949</f>
        <v>Q2 24E</v>
      </c>
      <c r="O949" s="5" t="str">
        <f t="shared" si="55"/>
        <v>Q3 24E</v>
      </c>
      <c r="P949" s="5" t="str">
        <f t="shared" si="55"/>
        <v>Q4 24E</v>
      </c>
    </row>
    <row r="950" spans="2:16" x14ac:dyDescent="0.55000000000000004">
      <c r="B950" s="226" t="s">
        <v>0</v>
      </c>
      <c r="C950" s="229" t="e">
        <f>Quarts!#REF!</f>
        <v>#REF!</v>
      </c>
      <c r="D950" s="229">
        <f>Quarts!Y3</f>
        <v>5800</v>
      </c>
      <c r="E950" s="229">
        <f>Quarts!Z3</f>
        <v>6800</v>
      </c>
      <c r="F950" s="229">
        <f>Quarts!AA3</f>
        <v>7966.9467687184588</v>
      </c>
      <c r="G950" s="226"/>
      <c r="H950" s="229">
        <v>5451</v>
      </c>
      <c r="I950" s="229">
        <v>6206</v>
      </c>
      <c r="J950" s="229">
        <v>6756</v>
      </c>
      <c r="K950" s="229">
        <v>7491</v>
      </c>
      <c r="L950" s="226"/>
      <c r="M950" s="268" t="e">
        <f t="shared" ref="M950:P952" si="56">C950/H950-1</f>
        <v>#REF!</v>
      </c>
      <c r="N950" s="268">
        <f t="shared" si="56"/>
        <v>-6.5420560747663559E-2</v>
      </c>
      <c r="O950" s="268">
        <f t="shared" si="56"/>
        <v>6.5127294256956958E-3</v>
      </c>
      <c r="P950" s="268">
        <f t="shared" si="56"/>
        <v>6.3535812137025527E-2</v>
      </c>
    </row>
    <row r="951" spans="2:16" x14ac:dyDescent="0.55000000000000004">
      <c r="B951" t="str">
        <f>B930</f>
        <v>Gross revenue</v>
      </c>
      <c r="C951" s="9" t="e">
        <f>Quarts!#REF!</f>
        <v>#REF!</v>
      </c>
      <c r="D951" s="9">
        <f>Quarts!Y35</f>
        <v>179</v>
      </c>
      <c r="E951" s="9">
        <f>Quarts!Z35</f>
        <v>203</v>
      </c>
      <c r="F951" s="9">
        <f>Quarts!AA35</f>
        <v>228.43371482889745</v>
      </c>
      <c r="H951">
        <v>194.5</v>
      </c>
      <c r="I951">
        <v>218.5</v>
      </c>
      <c r="J951">
        <v>231.7</v>
      </c>
      <c r="K951">
        <v>253.4</v>
      </c>
      <c r="M951" s="3" t="e">
        <f t="shared" si="56"/>
        <v>#REF!</v>
      </c>
      <c r="N951" s="3">
        <f t="shared" si="56"/>
        <v>-0.18077803203661325</v>
      </c>
      <c r="O951" s="3">
        <f t="shared" si="56"/>
        <v>-0.1238670694864048</v>
      </c>
      <c r="P951" s="3">
        <f t="shared" si="56"/>
        <v>-9.8525197991722768E-2</v>
      </c>
    </row>
    <row r="952" spans="2:16" x14ac:dyDescent="0.55000000000000004">
      <c r="B952" s="226" t="str">
        <f>B931</f>
        <v>Gross profit</v>
      </c>
      <c r="C952" s="228" t="e">
        <f>Quarts!#REF!</f>
        <v>#REF!</v>
      </c>
      <c r="D952" s="228">
        <f>Quarts!Y79</f>
        <v>65.36</v>
      </c>
      <c r="E952" s="228">
        <f>Quarts!Z79</f>
        <v>74.3</v>
      </c>
      <c r="F952" s="228">
        <f>Quarts!AA79</f>
        <v>84.928750228136906</v>
      </c>
      <c r="G952" s="226"/>
      <c r="H952" s="226">
        <v>73.7</v>
      </c>
      <c r="I952" s="226">
        <v>84.2</v>
      </c>
      <c r="J952" s="226">
        <v>90.7</v>
      </c>
      <c r="K952" s="226">
        <v>100.2</v>
      </c>
      <c r="L952" s="226"/>
      <c r="M952" s="268" t="e">
        <f t="shared" si="56"/>
        <v>#REF!</v>
      </c>
      <c r="N952" s="268">
        <f t="shared" si="56"/>
        <v>-0.22375296912114018</v>
      </c>
      <c r="O952" s="268">
        <f t="shared" si="56"/>
        <v>-0.18081587651598685</v>
      </c>
      <c r="P952" s="268">
        <f t="shared" si="56"/>
        <v>-0.1524076823539231</v>
      </c>
    </row>
    <row r="953" spans="2:16" x14ac:dyDescent="0.55000000000000004">
      <c r="B953" t="str">
        <f>B932</f>
        <v>Gross profit take rate</v>
      </c>
      <c r="C953" s="137" t="e">
        <f>Quarts!#REF!</f>
        <v>#REF!</v>
      </c>
      <c r="D953" s="137">
        <f>Quarts!Y95</f>
        <v>1.1268965517241379E-2</v>
      </c>
      <c r="E953" s="137">
        <f>Quarts!Z95</f>
        <v>1.0926470588235294E-2</v>
      </c>
      <c r="F953" s="137">
        <f>Quarts!AA95</f>
        <v>1.066013777845265E-2</v>
      </c>
      <c r="H953" s="137">
        <f>H952/(H950)</f>
        <v>1.3520454962392223E-2</v>
      </c>
      <c r="I953" s="137">
        <f t="shared" ref="I953:K953" si="57">I952/(I950)</f>
        <v>1.3567515307766677E-2</v>
      </c>
      <c r="J953" s="137">
        <f t="shared" si="57"/>
        <v>1.34251036116045E-2</v>
      </c>
      <c r="K953" s="137">
        <f t="shared" si="57"/>
        <v>1.3376051261513817E-2</v>
      </c>
    </row>
    <row r="954" spans="2:16" x14ac:dyDescent="0.55000000000000004">
      <c r="B954" s="226" t="str">
        <f>B934</f>
        <v>EBITDA</v>
      </c>
      <c r="C954" s="228" t="e">
        <f>Quarts!#REF!</f>
        <v>#REF!</v>
      </c>
      <c r="D954" s="228">
        <f>Quarts!Y124</f>
        <v>41.36</v>
      </c>
      <c r="E954" s="228">
        <f>Quarts!Z124</f>
        <v>51.3</v>
      </c>
      <c r="F954" s="228">
        <f>Quarts!AA124</f>
        <v>66.158856394866945</v>
      </c>
      <c r="G954" s="226"/>
      <c r="H954" s="228">
        <v>48.3</v>
      </c>
      <c r="I954" s="228">
        <v>56.3</v>
      </c>
      <c r="J954" s="228">
        <v>60.6</v>
      </c>
      <c r="K954" s="228">
        <v>68.400000000000006</v>
      </c>
      <c r="L954" s="226"/>
      <c r="M954" s="268" t="e">
        <f>C954/H954-1</f>
        <v>#REF!</v>
      </c>
      <c r="N954" s="268">
        <f>D954/I954-1</f>
        <v>-0.26536412078152749</v>
      </c>
      <c r="O954" s="268">
        <f>E954/J954-1</f>
        <v>-0.15346534653465349</v>
      </c>
      <c r="P954" s="268">
        <f>F954/K954-1</f>
        <v>-3.2765257384986257E-2</v>
      </c>
    </row>
    <row r="955" spans="2:16" x14ac:dyDescent="0.55000000000000004">
      <c r="B955" t="s">
        <v>106</v>
      </c>
      <c r="C955" s="3" t="e">
        <f>C954/C952</f>
        <v>#REF!</v>
      </c>
      <c r="D955" s="3">
        <f t="shared" ref="D955:F955" si="58">D954/D952</f>
        <v>0.63280293757649941</v>
      </c>
      <c r="E955" s="3">
        <f t="shared" si="58"/>
        <v>0.69044414535666221</v>
      </c>
      <c r="F955" s="3">
        <f t="shared" si="58"/>
        <v>0.77899246388472709</v>
      </c>
      <c r="H955" s="3">
        <f>H954/H952</f>
        <v>0.6553595658073269</v>
      </c>
      <c r="I955" s="3">
        <f t="shared" ref="I955" si="59">I954/I952</f>
        <v>0.66864608076009491</v>
      </c>
      <c r="J955" s="3">
        <f t="shared" ref="J955" si="60">J954/J952</f>
        <v>0.66813671444321943</v>
      </c>
      <c r="K955" s="3">
        <f t="shared" ref="K955" si="61">K954/K952</f>
        <v>0.68263473053892221</v>
      </c>
    </row>
    <row r="956" spans="2:16" x14ac:dyDescent="0.55000000000000004">
      <c r="B956" s="226" t="str">
        <f>B936</f>
        <v>Net income</v>
      </c>
      <c r="C956" s="228" t="e">
        <f>Quarts!#REF!</f>
        <v>#REF!</v>
      </c>
      <c r="D956" s="228">
        <f>Quarts!Y144</f>
        <v>27.088000000000001</v>
      </c>
      <c r="E956" s="228">
        <f>Quarts!Z144</f>
        <v>35.04</v>
      </c>
      <c r="F956" s="228">
        <f>Quarts!AA144</f>
        <v>50.745535106768067</v>
      </c>
      <c r="G956" s="226"/>
      <c r="H956" s="228">
        <v>39.9</v>
      </c>
      <c r="I956" s="226">
        <v>46</v>
      </c>
      <c r="J956" s="226">
        <v>49</v>
      </c>
      <c r="K956" s="226">
        <v>56</v>
      </c>
      <c r="L956" s="226"/>
      <c r="M956" s="268" t="e">
        <f>C956/H956-1</f>
        <v>#REF!</v>
      </c>
      <c r="N956" s="268">
        <f>D956/I956-1</f>
        <v>-0.41113043478260869</v>
      </c>
      <c r="O956" s="268">
        <f>E956/J956-1</f>
        <v>-0.28489795918367344</v>
      </c>
      <c r="P956" s="268">
        <f>F956/K956-1</f>
        <v>-9.3829730236284492E-2</v>
      </c>
    </row>
    <row r="958" spans="2:16" x14ac:dyDescent="0.55000000000000004">
      <c r="B958" s="294" t="s">
        <v>1911</v>
      </c>
      <c r="C958" s="226"/>
      <c r="D958" s="226"/>
      <c r="E958" s="226"/>
      <c r="F958" s="226"/>
      <c r="G958" s="226"/>
      <c r="H958" s="226"/>
      <c r="I958" s="226"/>
      <c r="J958" s="226"/>
      <c r="K958" s="226"/>
      <c r="L958" s="226"/>
      <c r="M958" s="226"/>
      <c r="N958" s="226"/>
      <c r="O958" s="226"/>
      <c r="P958" s="226"/>
    </row>
    <row r="959" spans="2:16" x14ac:dyDescent="0.55000000000000004">
      <c r="B959" t="str">
        <f>B939</f>
        <v>Brazil</v>
      </c>
      <c r="C959" t="e">
        <f>Quarts!#REF!</f>
        <v>#REF!</v>
      </c>
      <c r="D959">
        <f>Quarts!Y24</f>
        <v>50</v>
      </c>
      <c r="E959">
        <f>Quarts!Z24</f>
        <v>61</v>
      </c>
      <c r="F959" s="9">
        <f>Quarts!AA24</f>
        <v>73.374714828897368</v>
      </c>
      <c r="H959" s="9">
        <v>51.3</v>
      </c>
      <c r="I959" s="9">
        <v>56.8</v>
      </c>
      <c r="J959" s="9">
        <v>61.9</v>
      </c>
      <c r="K959" s="9">
        <v>67.400000000000006</v>
      </c>
      <c r="M959" s="3" t="e">
        <f t="shared" ref="M959:P963" si="62">C959/H959-1</f>
        <v>#REF!</v>
      </c>
      <c r="N959" s="3">
        <f t="shared" si="62"/>
        <v>-0.11971830985915488</v>
      </c>
      <c r="O959" s="3">
        <f t="shared" si="62"/>
        <v>-1.4539579967689842E-2</v>
      </c>
      <c r="P959" s="3">
        <f t="shared" si="62"/>
        <v>8.8645620606785824E-2</v>
      </c>
    </row>
    <row r="960" spans="2:16" x14ac:dyDescent="0.55000000000000004">
      <c r="B960" s="226" t="str">
        <f>B940</f>
        <v>Mexico</v>
      </c>
      <c r="C960" s="226" t="e">
        <f>Quarts!#REF!</f>
        <v>#REF!</v>
      </c>
      <c r="D960" s="226">
        <f>Quarts!Y26</f>
        <v>37</v>
      </c>
      <c r="E960" s="226">
        <f>Quarts!Z26</f>
        <v>40</v>
      </c>
      <c r="F960" s="228">
        <f>Quarts!AA26</f>
        <v>44.344000000000023</v>
      </c>
      <c r="G960" s="226"/>
      <c r="H960" s="228">
        <v>36.4</v>
      </c>
      <c r="I960" s="228">
        <v>40.299999999999997</v>
      </c>
      <c r="J960" s="228">
        <v>43.9</v>
      </c>
      <c r="K960" s="228">
        <v>47.8</v>
      </c>
      <c r="L960" s="226"/>
      <c r="M960" s="268" t="e">
        <f t="shared" si="62"/>
        <v>#REF!</v>
      </c>
      <c r="N960" s="268">
        <f t="shared" si="62"/>
        <v>-8.1885856079404351E-2</v>
      </c>
      <c r="O960" s="268">
        <f t="shared" si="62"/>
        <v>-8.8838268792710728E-2</v>
      </c>
      <c r="P960" s="268">
        <f t="shared" si="62"/>
        <v>-7.2301255230124983E-2</v>
      </c>
    </row>
    <row r="961" spans="2:16" x14ac:dyDescent="0.55000000000000004">
      <c r="B961" t="str">
        <f>B941</f>
        <v>Argentina</v>
      </c>
      <c r="C961" s="9" t="e">
        <f>Quarts!#REF!</f>
        <v>#REF!</v>
      </c>
      <c r="D961">
        <f>Quarts!Y25</f>
        <v>16</v>
      </c>
      <c r="E961">
        <f>Quarts!Z25</f>
        <v>17</v>
      </c>
      <c r="F961" s="9">
        <f>Quarts!AA25</f>
        <v>17.200000000000003</v>
      </c>
      <c r="H961" s="9">
        <v>10.7</v>
      </c>
      <c r="I961" s="9">
        <v>11.9</v>
      </c>
      <c r="J961" s="9">
        <v>12.9</v>
      </c>
      <c r="K961" s="9">
        <v>14.1</v>
      </c>
      <c r="M961" s="3" t="e">
        <f t="shared" si="62"/>
        <v>#REF!</v>
      </c>
      <c r="N961" s="3">
        <f t="shared" si="62"/>
        <v>0.34453781512605031</v>
      </c>
      <c r="O961" s="3">
        <f t="shared" si="62"/>
        <v>0.31782945736434098</v>
      </c>
      <c r="P961" s="3">
        <f t="shared" si="62"/>
        <v>0.219858156028369</v>
      </c>
    </row>
    <row r="962" spans="2:16" x14ac:dyDescent="0.55000000000000004">
      <c r="B962" s="226" t="s">
        <v>69</v>
      </c>
      <c r="C962" s="228" t="e">
        <f>Quarts!#REF!</f>
        <v>#REF!</v>
      </c>
      <c r="D962" s="228">
        <f>Quarts!Y31</f>
        <v>9</v>
      </c>
      <c r="E962" s="228">
        <f>Quarts!Z31</f>
        <v>12</v>
      </c>
      <c r="F962" s="228">
        <f>Quarts!AA31</f>
        <v>14.799999999999997</v>
      </c>
      <c r="G962" s="226"/>
      <c r="H962" s="228">
        <v>29</v>
      </c>
      <c r="I962" s="228">
        <v>32</v>
      </c>
      <c r="J962" s="228">
        <v>35</v>
      </c>
      <c r="K962" s="228">
        <v>38</v>
      </c>
      <c r="L962" s="226"/>
      <c r="M962" s="268" t="e">
        <f t="shared" si="62"/>
        <v>#REF!</v>
      </c>
      <c r="N962" s="268">
        <f t="shared" si="62"/>
        <v>-0.71875</v>
      </c>
      <c r="O962" s="268">
        <f t="shared" si="62"/>
        <v>-0.65714285714285714</v>
      </c>
      <c r="P962" s="268">
        <f t="shared" si="62"/>
        <v>-0.61052631578947381</v>
      </c>
    </row>
    <row r="963" spans="2:16" x14ac:dyDescent="0.55000000000000004">
      <c r="B963" s="14" t="s">
        <v>63</v>
      </c>
      <c r="C963" s="18" t="e">
        <f>C951-C959-C960-C961-C962</f>
        <v>#REF!</v>
      </c>
      <c r="D963" s="18">
        <f t="shared" ref="D963:F963" si="63">D951-D959-D960-D961-D962</f>
        <v>67</v>
      </c>
      <c r="E963" s="18">
        <f t="shared" si="63"/>
        <v>73</v>
      </c>
      <c r="F963" s="18">
        <f t="shared" si="63"/>
        <v>78.71500000000006</v>
      </c>
      <c r="G963" s="14"/>
      <c r="H963" s="18">
        <f t="shared" ref="H963" si="64">H951-H959-H960-H961-H962</f>
        <v>67.09999999999998</v>
      </c>
      <c r="I963" s="18">
        <f t="shared" ref="I963" si="65">I951-I959-I960-I961-I962</f>
        <v>77.499999999999986</v>
      </c>
      <c r="J963" s="18">
        <f t="shared" ref="J963" si="66">J951-J959-J960-J961-J962</f>
        <v>77.999999999999972</v>
      </c>
      <c r="K963" s="18">
        <f t="shared" ref="K963" si="67">K951-K959-K960-K961-K962</f>
        <v>86.1</v>
      </c>
      <c r="L963" s="14"/>
      <c r="M963" s="41" t="e">
        <f t="shared" si="62"/>
        <v>#REF!</v>
      </c>
      <c r="N963" s="41">
        <f t="shared" si="62"/>
        <v>-0.13548387096774173</v>
      </c>
      <c r="O963" s="41">
        <f t="shared" si="62"/>
        <v>-6.4102564102563764E-2</v>
      </c>
      <c r="P963" s="41">
        <f t="shared" si="62"/>
        <v>-8.5772357723576498E-2</v>
      </c>
    </row>
    <row r="964" spans="2:16" ht="14.7" thickBot="1" x14ac:dyDescent="0.6"/>
    <row r="965" spans="2:16" x14ac:dyDescent="0.55000000000000004">
      <c r="B965" s="1"/>
      <c r="C965" s="5" t="str">
        <f>Quarts!R2</f>
        <v>Q4 22</v>
      </c>
      <c r="D965" s="5" t="str">
        <f>Quarts!S2</f>
        <v>Q1 23</v>
      </c>
      <c r="E965" s="5" t="str">
        <f>Quarts!T2</f>
        <v>Q2 23</v>
      </c>
      <c r="F965" s="5" t="str">
        <f>Quarts!U2</f>
        <v>Q3 23</v>
      </c>
      <c r="G965" s="356" t="str">
        <f>Quarts!V2</f>
        <v>Q4 23</v>
      </c>
      <c r="H965" s="5" t="e">
        <f>Quarts!#REF!</f>
        <v>#REF!</v>
      </c>
      <c r="I965" s="5" t="str">
        <f>Quarts!Y2</f>
        <v>Q2 24E</v>
      </c>
      <c r="J965" s="5" t="str">
        <f>Quarts!Z2</f>
        <v>Q3 24E</v>
      </c>
      <c r="K965" s="5" t="str">
        <f>Quarts!AA2</f>
        <v>Q4 24E</v>
      </c>
    </row>
    <row r="966" spans="2:16" x14ac:dyDescent="0.55000000000000004">
      <c r="B966" s="294" t="s">
        <v>243</v>
      </c>
      <c r="C966" s="353"/>
      <c r="D966" s="353"/>
      <c r="E966" s="353"/>
      <c r="F966" s="353"/>
      <c r="G966" s="357"/>
      <c r="H966" s="353"/>
      <c r="I966" s="353"/>
      <c r="J966" s="353"/>
      <c r="K966" s="353"/>
    </row>
    <row r="967" spans="2:16" x14ac:dyDescent="0.55000000000000004">
      <c r="B967" t="s">
        <v>1</v>
      </c>
      <c r="C967" s="9">
        <f>Quarts!R35</f>
        <v>118.4</v>
      </c>
      <c r="D967" s="9">
        <f>Quarts!S35</f>
        <v>137.30000000000001</v>
      </c>
      <c r="E967" s="9">
        <f>Quarts!T35</f>
        <v>161.1</v>
      </c>
      <c r="F967" s="9">
        <f>Quarts!U35</f>
        <v>163.9</v>
      </c>
      <c r="G967" s="358">
        <f>Quarts!V35</f>
        <v>188</v>
      </c>
      <c r="H967" s="9" t="e">
        <f>Quarts!#REF!</f>
        <v>#REF!</v>
      </c>
      <c r="I967" s="9">
        <f>Quarts!Y35</f>
        <v>179</v>
      </c>
      <c r="J967" s="9">
        <f>Quarts!Z35</f>
        <v>203</v>
      </c>
      <c r="K967" s="9">
        <f>Quarts!AA35</f>
        <v>228.43371482889745</v>
      </c>
    </row>
    <row r="968" spans="2:16" x14ac:dyDescent="0.55000000000000004">
      <c r="B968" s="226" t="s">
        <v>105</v>
      </c>
      <c r="C968" s="228">
        <f>Quarts!R79</f>
        <v>55.1</v>
      </c>
      <c r="D968" s="228">
        <f>Quarts!S79</f>
        <v>61.800000000000004</v>
      </c>
      <c r="E968" s="228">
        <f>Quarts!T79</f>
        <v>70.700000000000017</v>
      </c>
      <c r="F968" s="228">
        <f>Quarts!U79</f>
        <v>74.5</v>
      </c>
      <c r="G968" s="359">
        <f>Quarts!V79</f>
        <v>69.900000000000006</v>
      </c>
      <c r="H968" s="228" t="e">
        <f>Quarts!#REF!</f>
        <v>#REF!</v>
      </c>
      <c r="I968" s="228">
        <f>Quarts!Y79</f>
        <v>65.36</v>
      </c>
      <c r="J968" s="228">
        <f>Quarts!Z79</f>
        <v>74.3</v>
      </c>
      <c r="K968" s="228">
        <f>Quarts!AA79</f>
        <v>84.928750228136906</v>
      </c>
    </row>
    <row r="969" spans="2:16" x14ac:dyDescent="0.55000000000000004">
      <c r="B969" s="10" t="s">
        <v>610</v>
      </c>
      <c r="C969" s="344">
        <f>C968/C967</f>
        <v>0.4653716216216216</v>
      </c>
      <c r="D969" s="344">
        <f t="shared" ref="D969:G969" si="68">D968/D967</f>
        <v>0.45010924981791695</v>
      </c>
      <c r="E969" s="344">
        <f t="shared" si="68"/>
        <v>0.43885785226567364</v>
      </c>
      <c r="F969" s="344">
        <f t="shared" si="68"/>
        <v>0.45454545454545453</v>
      </c>
      <c r="G969" s="360">
        <f t="shared" si="68"/>
        <v>0.3718085106382979</v>
      </c>
      <c r="H969" s="344" t="e">
        <f t="shared" ref="H969" si="69">H968/H967</f>
        <v>#REF!</v>
      </c>
      <c r="I969" s="344">
        <f t="shared" ref="I969" si="70">I968/I967</f>
        <v>0.36513966480446924</v>
      </c>
      <c r="J969" s="344">
        <f t="shared" ref="J969:K969" si="71">J968/J967</f>
        <v>0.36600985221674875</v>
      </c>
      <c r="K969" s="344">
        <f t="shared" si="71"/>
        <v>0.37178728320270349</v>
      </c>
    </row>
    <row r="970" spans="2:16" x14ac:dyDescent="0.55000000000000004">
      <c r="B970" s="226"/>
      <c r="C970" s="226"/>
      <c r="D970" s="226"/>
      <c r="E970" s="226"/>
      <c r="F970" s="226"/>
      <c r="G970" s="361"/>
      <c r="H970" s="226"/>
      <c r="I970" s="226"/>
      <c r="J970" s="226"/>
      <c r="K970" s="226"/>
    </row>
    <row r="971" spans="2:16" x14ac:dyDescent="0.55000000000000004">
      <c r="B971" s="10" t="s">
        <v>75</v>
      </c>
      <c r="G971" s="362"/>
    </row>
    <row r="972" spans="2:16" x14ac:dyDescent="0.55000000000000004">
      <c r="B972" s="226" t="str">
        <f>B967</f>
        <v>Revenue</v>
      </c>
      <c r="C972" s="228">
        <f>Quarts!R25</f>
        <v>14.2</v>
      </c>
      <c r="D972" s="228">
        <f>Quarts!S25</f>
        <v>20</v>
      </c>
      <c r="E972" s="228">
        <f>Quarts!T25</f>
        <v>20.7</v>
      </c>
      <c r="F972" s="228">
        <f>Quarts!U25</f>
        <v>23.9</v>
      </c>
      <c r="G972" s="359">
        <f>Quarts!V25</f>
        <v>10.5</v>
      </c>
      <c r="H972" s="228" t="e">
        <f>Quarts!#REF!</f>
        <v>#REF!</v>
      </c>
      <c r="I972" s="228">
        <f>Quarts!Y25</f>
        <v>16</v>
      </c>
      <c r="J972" s="228">
        <f>Quarts!Z25</f>
        <v>17</v>
      </c>
      <c r="K972" s="228">
        <f>Quarts!AA25</f>
        <v>17.200000000000003</v>
      </c>
    </row>
    <row r="973" spans="2:16" x14ac:dyDescent="0.55000000000000004">
      <c r="B973" t="str">
        <f>B968</f>
        <v>Gross profit</v>
      </c>
      <c r="C973" s="9" t="e">
        <f>Quarts!#REF!</f>
        <v>#REF!</v>
      </c>
      <c r="D973" s="9" t="e">
        <f>Quarts!#REF!</f>
        <v>#REF!</v>
      </c>
      <c r="E973" s="9" t="e">
        <f>Quarts!#REF!</f>
        <v>#REF!</v>
      </c>
      <c r="F973" s="9" t="e">
        <f>Quarts!#REF!</f>
        <v>#REF!</v>
      </c>
      <c r="G973" s="358" t="e">
        <f>Quarts!#REF!</f>
        <v>#REF!</v>
      </c>
      <c r="H973" s="9" t="e">
        <f>Quarts!#REF!</f>
        <v>#REF!</v>
      </c>
      <c r="I973" s="9" t="e">
        <f>Quarts!#REF!</f>
        <v>#REF!</v>
      </c>
      <c r="J973" s="9" t="e">
        <f>Quarts!#REF!</f>
        <v>#REF!</v>
      </c>
      <c r="K973" s="9" t="e">
        <f>Quarts!#REF!</f>
        <v>#REF!</v>
      </c>
    </row>
    <row r="974" spans="2:16" x14ac:dyDescent="0.55000000000000004">
      <c r="B974" s="294" t="str">
        <f>B969</f>
        <v>Gross margin</v>
      </c>
      <c r="C974" s="354" t="e">
        <f>C973/C972</f>
        <v>#REF!</v>
      </c>
      <c r="D974" s="354" t="e">
        <f t="shared" ref="D974" si="72">D973/D972</f>
        <v>#REF!</v>
      </c>
      <c r="E974" s="354" t="e">
        <f t="shared" ref="E974" si="73">E973/E972</f>
        <v>#REF!</v>
      </c>
      <c r="F974" s="354" t="e">
        <f t="shared" ref="F974" si="74">F973/F972</f>
        <v>#REF!</v>
      </c>
      <c r="G974" s="363" t="e">
        <f t="shared" ref="G974" si="75">G973/G972</f>
        <v>#REF!</v>
      </c>
      <c r="H974" s="354" t="e">
        <f t="shared" ref="H974" si="76">H973/H972</f>
        <v>#REF!</v>
      </c>
      <c r="I974" s="354" t="e">
        <f t="shared" ref="I974" si="77">I973/I972</f>
        <v>#REF!</v>
      </c>
      <c r="J974" s="354" t="e">
        <f t="shared" ref="J974:K974" si="78">J973/J972</f>
        <v>#REF!</v>
      </c>
      <c r="K974" s="354" t="e">
        <f t="shared" si="78"/>
        <v>#REF!</v>
      </c>
    </row>
    <row r="975" spans="2:16" ht="14.7" thickBot="1" x14ac:dyDescent="0.6">
      <c r="G975" s="362"/>
    </row>
    <row r="976" spans="2:16" ht="14.7" thickBot="1" x14ac:dyDescent="0.6">
      <c r="B976" s="289" t="s">
        <v>1913</v>
      </c>
      <c r="C976" s="290" t="e">
        <f>C973/C968</f>
        <v>#REF!</v>
      </c>
      <c r="D976" s="290" t="e">
        <f t="shared" ref="D976:K976" si="79">D973/D968</f>
        <v>#REF!</v>
      </c>
      <c r="E976" s="290" t="e">
        <f t="shared" si="79"/>
        <v>#REF!</v>
      </c>
      <c r="F976" s="290" t="e">
        <f t="shared" si="79"/>
        <v>#REF!</v>
      </c>
      <c r="G976" s="364" t="e">
        <f t="shared" si="79"/>
        <v>#REF!</v>
      </c>
      <c r="H976" s="290" t="e">
        <f t="shared" si="79"/>
        <v>#REF!</v>
      </c>
      <c r="I976" s="290" t="e">
        <f t="shared" si="79"/>
        <v>#REF!</v>
      </c>
      <c r="J976" s="290" t="e">
        <f t="shared" si="79"/>
        <v>#REF!</v>
      </c>
      <c r="K976" s="291" t="e">
        <f t="shared" si="79"/>
        <v>#REF!</v>
      </c>
    </row>
    <row r="978" spans="2:12" x14ac:dyDescent="0.55000000000000004">
      <c r="B978" s="10" t="s">
        <v>1912</v>
      </c>
    </row>
    <row r="979" spans="2:12" x14ac:dyDescent="0.55000000000000004">
      <c r="B979" t="str">
        <f>B972</f>
        <v>Revenue</v>
      </c>
      <c r="C979">
        <f>C967-C972</f>
        <v>104.2</v>
      </c>
      <c r="D979">
        <f t="shared" ref="D979:G979" si="80">D967-D972</f>
        <v>117.30000000000001</v>
      </c>
      <c r="E979">
        <f t="shared" si="80"/>
        <v>140.4</v>
      </c>
      <c r="F979">
        <f t="shared" si="80"/>
        <v>140</v>
      </c>
      <c r="G979">
        <f t="shared" si="80"/>
        <v>177.5</v>
      </c>
    </row>
    <row r="980" spans="2:12" x14ac:dyDescent="0.55000000000000004">
      <c r="B980" t="str">
        <f>B973</f>
        <v>Gross profit</v>
      </c>
      <c r="C980" s="9" t="e">
        <f t="shared" ref="C980:G980" si="81">C968-C973</f>
        <v>#REF!</v>
      </c>
      <c r="D980" s="9" t="e">
        <f t="shared" si="81"/>
        <v>#REF!</v>
      </c>
      <c r="E980" s="9" t="e">
        <f t="shared" si="81"/>
        <v>#REF!</v>
      </c>
      <c r="F980" s="9" t="e">
        <f t="shared" si="81"/>
        <v>#REF!</v>
      </c>
      <c r="G980" s="9" t="e">
        <f t="shared" si="81"/>
        <v>#REF!</v>
      </c>
    </row>
    <row r="981" spans="2:12" x14ac:dyDescent="0.55000000000000004">
      <c r="B981" t="str">
        <f>B974</f>
        <v>Gross margin</v>
      </c>
      <c r="C981" s="2" t="e">
        <f>C980/C979</f>
        <v>#REF!</v>
      </c>
      <c r="D981" s="2" t="e">
        <f t="shared" ref="D981:F981" si="82">D980/D979</f>
        <v>#REF!</v>
      </c>
      <c r="E981" s="2" t="e">
        <f t="shared" si="82"/>
        <v>#REF!</v>
      </c>
      <c r="F981" s="2" t="e">
        <f t="shared" si="82"/>
        <v>#REF!</v>
      </c>
      <c r="G981" s="2" t="e">
        <f>G980/G979</f>
        <v>#REF!</v>
      </c>
    </row>
    <row r="984" spans="2:12" x14ac:dyDescent="0.55000000000000004">
      <c r="B984" s="14"/>
      <c r="C984" s="386" t="s">
        <v>1775</v>
      </c>
      <c r="D984" s="386" t="s">
        <v>1914</v>
      </c>
      <c r="E984" s="3"/>
      <c r="F984" s="3"/>
    </row>
    <row r="985" spans="2:12" x14ac:dyDescent="0.55000000000000004">
      <c r="B985" t="s">
        <v>0</v>
      </c>
      <c r="C985" s="9">
        <f>Quarts!V3</f>
        <v>5111</v>
      </c>
      <c r="D985" s="9">
        <f>Quarts!W3</f>
        <v>5310</v>
      </c>
      <c r="E985" s="3"/>
      <c r="F985" s="3"/>
    </row>
    <row r="986" spans="2:12" x14ac:dyDescent="0.55000000000000004">
      <c r="B986" t="s">
        <v>1</v>
      </c>
      <c r="C986" s="9">
        <f>Snaps!H37</f>
        <v>188</v>
      </c>
      <c r="D986" s="9">
        <f>Snaps!I37</f>
        <v>184.4</v>
      </c>
      <c r="E986" s="3"/>
      <c r="F986" s="3"/>
    </row>
    <row r="987" spans="2:12" x14ac:dyDescent="0.55000000000000004">
      <c r="B987" t="s">
        <v>105</v>
      </c>
      <c r="C987" s="9">
        <f>Snaps!L37</f>
        <v>69.900000000000006</v>
      </c>
      <c r="D987" s="9">
        <f>Snaps!M37</f>
        <v>63</v>
      </c>
      <c r="E987" s="3"/>
      <c r="F987" s="3"/>
    </row>
    <row r="988" spans="2:12" x14ac:dyDescent="0.55000000000000004">
      <c r="C988" s="9"/>
      <c r="D988" s="9"/>
      <c r="E988" s="3"/>
      <c r="F988" s="3"/>
      <c r="K988" t="s">
        <v>1997</v>
      </c>
      <c r="L988" t="s">
        <v>1996</v>
      </c>
    </row>
    <row r="989" spans="2:12" x14ac:dyDescent="0.55000000000000004">
      <c r="B989" t="s">
        <v>1141</v>
      </c>
      <c r="C989" s="3">
        <f>Snaps!P37</f>
        <v>0.3718085106382979</v>
      </c>
      <c r="D989" s="3">
        <f>Snaps!Q37</f>
        <v>0.34164859002169196</v>
      </c>
      <c r="I989" s="1"/>
      <c r="J989" s="387" t="str">
        <f>C984</f>
        <v>Q4 23</v>
      </c>
      <c r="K989" s="387" t="str">
        <f>D984</f>
        <v>Q1 24</v>
      </c>
      <c r="L989" s="387" t="str">
        <f>K989</f>
        <v>Q1 24</v>
      </c>
    </row>
    <row r="990" spans="2:12" x14ac:dyDescent="0.55000000000000004">
      <c r="B990" t="s">
        <v>1991</v>
      </c>
      <c r="D990" s="137">
        <v>1.2999999999999999E-2</v>
      </c>
      <c r="I990" t="s">
        <v>0</v>
      </c>
      <c r="J990" s="9">
        <f>C985</f>
        <v>5111</v>
      </c>
      <c r="K990" s="9">
        <f>D985</f>
        <v>5310</v>
      </c>
      <c r="L990" s="9">
        <f>K990</f>
        <v>5310</v>
      </c>
    </row>
    <row r="991" spans="2:12" x14ac:dyDescent="0.55000000000000004">
      <c r="B991" t="s">
        <v>1989</v>
      </c>
      <c r="D991" s="3">
        <f>D989+D990</f>
        <v>0.35464859002169197</v>
      </c>
      <c r="I991" s="6" t="s">
        <v>1993</v>
      </c>
      <c r="J991" s="15">
        <v>0.2</v>
      </c>
      <c r="K991" s="2">
        <f>J991</f>
        <v>0.2</v>
      </c>
      <c r="L991" s="2">
        <f>K991</f>
        <v>0.2</v>
      </c>
    </row>
    <row r="992" spans="2:12" x14ac:dyDescent="0.55000000000000004">
      <c r="I992" t="s">
        <v>1994</v>
      </c>
      <c r="J992" s="9">
        <f>J990*J991</f>
        <v>1022.2</v>
      </c>
      <c r="K992" s="9">
        <f>K990*K991</f>
        <v>1062</v>
      </c>
      <c r="L992" s="9">
        <f>L990*L991</f>
        <v>1062</v>
      </c>
    </row>
    <row r="993" spans="2:12" x14ac:dyDescent="0.55000000000000004">
      <c r="B993" t="s">
        <v>1988</v>
      </c>
      <c r="C993" s="137">
        <f>C987/C985</f>
        <v>1.3676384269223246E-2</v>
      </c>
      <c r="D993" s="137">
        <f>D987/D985</f>
        <v>1.1864406779661017E-2</v>
      </c>
      <c r="I993" t="s">
        <v>1995</v>
      </c>
      <c r="J993" s="2">
        <f>100%-J991</f>
        <v>0.8</v>
      </c>
      <c r="K993" s="2">
        <f>100%-K991</f>
        <v>0.8</v>
      </c>
      <c r="L993" s="2">
        <f>100%-L991</f>
        <v>0.8</v>
      </c>
    </row>
    <row r="994" spans="2:12" x14ac:dyDescent="0.55000000000000004">
      <c r="B994" t="s">
        <v>1976</v>
      </c>
      <c r="D994" s="137">
        <v>4.0000000000000002E-4</v>
      </c>
    </row>
    <row r="995" spans="2:12" x14ac:dyDescent="0.55000000000000004">
      <c r="B995" t="s">
        <v>1989</v>
      </c>
      <c r="D995" s="137">
        <f>D993+D994</f>
        <v>1.2264406779661017E-2</v>
      </c>
      <c r="I995" t="s">
        <v>1</v>
      </c>
      <c r="J995" s="9">
        <f>C986</f>
        <v>188</v>
      </c>
      <c r="K995" s="9">
        <f>D986</f>
        <v>184.4</v>
      </c>
      <c r="L995" s="9">
        <f>L997/L996</f>
        <v>183.6296599854428</v>
      </c>
    </row>
    <row r="996" spans="2:12" x14ac:dyDescent="0.55000000000000004">
      <c r="I996" t="s">
        <v>1945</v>
      </c>
      <c r="J996" s="3">
        <f>J997/J995</f>
        <v>0.3718085106382979</v>
      </c>
      <c r="K996" s="3">
        <f>K997/K995</f>
        <v>0.34164859002169196</v>
      </c>
      <c r="L996" s="3">
        <f>D991</f>
        <v>0.35464859002169197</v>
      </c>
    </row>
    <row r="997" spans="2:12" x14ac:dyDescent="0.55000000000000004">
      <c r="B997" t="s">
        <v>1990</v>
      </c>
      <c r="I997" t="s">
        <v>1113</v>
      </c>
      <c r="J997" s="4">
        <f>C987</f>
        <v>69.900000000000006</v>
      </c>
      <c r="K997" s="4">
        <f>D987</f>
        <v>63</v>
      </c>
      <c r="L997" s="4">
        <f>L999*L990</f>
        <v>65.123999999999995</v>
      </c>
    </row>
    <row r="999" spans="2:12" x14ac:dyDescent="0.55000000000000004">
      <c r="I999" t="s">
        <v>1992</v>
      </c>
      <c r="J999" s="137">
        <f>J997/J990</f>
        <v>1.3676384269223246E-2</v>
      </c>
      <c r="K999" s="137">
        <f>K997/K990</f>
        <v>1.1864406779661017E-2</v>
      </c>
      <c r="L999" s="137">
        <f>D995</f>
        <v>1.2264406779661017E-2</v>
      </c>
    </row>
    <row r="1002" spans="2:12" x14ac:dyDescent="0.55000000000000004">
      <c r="B1002" t="s">
        <v>1998</v>
      </c>
      <c r="D1002" s="9">
        <f>D1008*D1004</f>
        <v>11.864406779661017</v>
      </c>
      <c r="E1002" s="9">
        <f>E1008*E1004</f>
        <v>12.264406779661016</v>
      </c>
    </row>
    <row r="1003" spans="2:12" x14ac:dyDescent="0.55000000000000004">
      <c r="B1003" t="s">
        <v>1</v>
      </c>
      <c r="D1003" s="9">
        <f>D1002/D1007</f>
        <v>34.726930320150664</v>
      </c>
      <c r="E1003" s="9">
        <f>E1002/E1007</f>
        <v>34.581856871081506</v>
      </c>
    </row>
    <row r="1004" spans="2:12" x14ac:dyDescent="0.55000000000000004">
      <c r="B1004" t="s">
        <v>0</v>
      </c>
      <c r="D1004">
        <v>1000</v>
      </c>
      <c r="E1004">
        <f>D1004</f>
        <v>1000</v>
      </c>
    </row>
    <row r="1005" spans="2:12" x14ac:dyDescent="0.55000000000000004">
      <c r="B1005" t="s">
        <v>217</v>
      </c>
      <c r="D1005" s="137">
        <f>D1003/D1004</f>
        <v>3.4726930320150666E-2</v>
      </c>
      <c r="E1005" s="137">
        <f>E1003/E1004</f>
        <v>3.4581856871081507E-2</v>
      </c>
    </row>
    <row r="1007" spans="2:12" x14ac:dyDescent="0.55000000000000004">
      <c r="B1007" t="s">
        <v>1945</v>
      </c>
      <c r="D1007" s="3">
        <f>D989</f>
        <v>0.34164859002169196</v>
      </c>
      <c r="E1007" s="3">
        <f>D991</f>
        <v>0.35464859002169197</v>
      </c>
    </row>
    <row r="1008" spans="2:12" x14ac:dyDescent="0.55000000000000004">
      <c r="B1008" t="s">
        <v>1999</v>
      </c>
      <c r="D1008" s="137">
        <f>D993</f>
        <v>1.1864406779661017E-2</v>
      </c>
      <c r="E1008" s="137">
        <f>D995</f>
        <v>1.2264406779661017E-2</v>
      </c>
    </row>
    <row r="1010" spans="2:11" x14ac:dyDescent="0.55000000000000004">
      <c r="B1010" t="s">
        <v>2002</v>
      </c>
      <c r="D1010" s="9">
        <f>(D987-D1011)/2</f>
        <v>19</v>
      </c>
      <c r="E1010" s="9">
        <f>D1010</f>
        <v>19</v>
      </c>
    </row>
    <row r="1011" spans="2:11" x14ac:dyDescent="0.55000000000000004">
      <c r="B1011" t="s">
        <v>2000</v>
      </c>
      <c r="D1011">
        <v>25</v>
      </c>
      <c r="E1011">
        <f>D1011</f>
        <v>25</v>
      </c>
    </row>
    <row r="1012" spans="2:11" x14ac:dyDescent="0.55000000000000004">
      <c r="B1012" t="s">
        <v>2001</v>
      </c>
      <c r="D1012" s="9">
        <f>(D1013-D1010-D1011)/9</f>
        <v>30.666666666666668</v>
      </c>
      <c r="E1012">
        <f>D1012*9</f>
        <v>276</v>
      </c>
    </row>
    <row r="1013" spans="2:11" x14ac:dyDescent="0.55000000000000004">
      <c r="D1013">
        <v>320</v>
      </c>
      <c r="E1013" s="9">
        <f>SUM(E1010:E1012)</f>
        <v>320</v>
      </c>
    </row>
    <row r="1020" spans="2:11" x14ac:dyDescent="0.55000000000000004">
      <c r="C1020" s="54" t="s">
        <v>1738</v>
      </c>
      <c r="D1020" s="54" t="s">
        <v>1738</v>
      </c>
      <c r="E1020" s="54" t="s">
        <v>1738</v>
      </c>
      <c r="F1020" s="54" t="s">
        <v>1738</v>
      </c>
      <c r="H1020" s="54" t="s">
        <v>1737</v>
      </c>
      <c r="I1020" s="54" t="s">
        <v>1737</v>
      </c>
      <c r="J1020" s="54" t="s">
        <v>1737</v>
      </c>
      <c r="K1020" s="54" t="s">
        <v>1737</v>
      </c>
    </row>
    <row r="1021" spans="2:11" x14ac:dyDescent="0.55000000000000004">
      <c r="B1021" s="1" t="s">
        <v>2</v>
      </c>
      <c r="C1021" s="1">
        <v>2024</v>
      </c>
      <c r="D1021" s="1">
        <f>C1021+1</f>
        <v>2025</v>
      </c>
      <c r="E1021" s="1">
        <f>D1021+1</f>
        <v>2026</v>
      </c>
      <c r="F1021" s="1">
        <f>E1021+1</f>
        <v>2027</v>
      </c>
      <c r="H1021" s="1">
        <v>2024</v>
      </c>
      <c r="I1021" s="1">
        <f>H1021+1</f>
        <v>2025</v>
      </c>
      <c r="J1021" s="1">
        <f>I1021+1</f>
        <v>2026</v>
      </c>
      <c r="K1021" s="1">
        <f>J1021+1</f>
        <v>2027</v>
      </c>
    </row>
    <row r="1022" spans="2:11" x14ac:dyDescent="0.55000000000000004">
      <c r="B1022" s="226" t="s">
        <v>0</v>
      </c>
      <c r="C1022" s="233">
        <f>Master!I43</f>
        <v>25.876946768718458</v>
      </c>
      <c r="D1022" s="233">
        <f>Master!J43</f>
        <v>35.822434701840464</v>
      </c>
      <c r="E1022" s="233">
        <f>Master!K43</f>
        <v>46.513970674718657</v>
      </c>
      <c r="F1022" s="233">
        <f>Master!L43</f>
        <v>59.341870867405746</v>
      </c>
      <c r="H1022" s="4">
        <v>26.578734973908873</v>
      </c>
      <c r="I1022" s="4">
        <v>37.90483385757836</v>
      </c>
      <c r="J1022" s="4">
        <v>51.817734432742199</v>
      </c>
      <c r="K1022" s="4">
        <v>66.585393839200378</v>
      </c>
    </row>
    <row r="1024" spans="2:11" x14ac:dyDescent="0.55000000000000004">
      <c r="B1024" s="226" t="s">
        <v>130</v>
      </c>
      <c r="C1024" s="229">
        <f>Master!I98</f>
        <v>794.83371482889743</v>
      </c>
      <c r="D1024" s="229">
        <f>Master!J98</f>
        <v>999.13239999999996</v>
      </c>
      <c r="E1024" s="229">
        <f>Master!K98</f>
        <v>1257.1456580882355</v>
      </c>
      <c r="F1024" s="229">
        <f>Master!L98</f>
        <v>1539.6776221056807</v>
      </c>
      <c r="H1024" s="9">
        <v>829.25653118595676</v>
      </c>
      <c r="I1024" s="9">
        <v>1148.5164658846243</v>
      </c>
      <c r="J1024" s="9">
        <v>1492.3507516629752</v>
      </c>
      <c r="K1024" s="9">
        <v>1851.0739487297706</v>
      </c>
    </row>
    <row r="1025" spans="2:11" x14ac:dyDescent="0.55000000000000004">
      <c r="C1025" s="13"/>
      <c r="D1025" s="13"/>
      <c r="E1025" s="13"/>
      <c r="F1025" s="13"/>
    </row>
    <row r="1026" spans="2:11" x14ac:dyDescent="0.55000000000000004">
      <c r="B1026" s="226" t="s">
        <v>105</v>
      </c>
      <c r="C1026" s="229">
        <f>Master!I195</f>
        <v>287.58875022813692</v>
      </c>
      <c r="D1026" s="229">
        <f>Master!J195</f>
        <v>377.71537850000004</v>
      </c>
      <c r="E1026" s="229">
        <f>Master!K195</f>
        <v>475.73018680147061</v>
      </c>
      <c r="F1026" s="229">
        <f>Master!L195</f>
        <v>576.31439949549463</v>
      </c>
      <c r="H1026" s="9">
        <v>342.93031093243593</v>
      </c>
      <c r="I1026" s="9">
        <v>486.26547535101759</v>
      </c>
      <c r="J1026" s="9">
        <v>631.84000334632037</v>
      </c>
      <c r="K1026" s="9">
        <v>783.71828382597096</v>
      </c>
    </row>
    <row r="1027" spans="2:11" x14ac:dyDescent="0.55000000000000004">
      <c r="B1027" t="s">
        <v>3</v>
      </c>
      <c r="C1027" s="13">
        <f>Master!I223</f>
        <v>195.61885639486695</v>
      </c>
      <c r="D1027" s="13">
        <f>Master!J223</f>
        <v>274.67791873499999</v>
      </c>
      <c r="E1027" s="13">
        <f>Master!K223</f>
        <v>344.26843262904413</v>
      </c>
      <c r="F1027" s="13">
        <f>Master!L223</f>
        <v>415.68322364180119</v>
      </c>
      <c r="H1027" s="9">
        <v>240.48439404392744</v>
      </c>
      <c r="I1027" s="9">
        <v>350.2975220948104</v>
      </c>
      <c r="J1027" s="9">
        <v>462.6287330155223</v>
      </c>
      <c r="K1027" s="9">
        <v>592.34366359352657</v>
      </c>
    </row>
    <row r="1028" spans="2:11" x14ac:dyDescent="0.55000000000000004">
      <c r="B1028" s="226" t="s">
        <v>2039</v>
      </c>
      <c r="C1028" s="268">
        <f>C1027/C1026</f>
        <v>0.68020343716396225</v>
      </c>
      <c r="D1028" s="268">
        <f t="shared" ref="D1028:F1028" si="83">D1027/D1026</f>
        <v>0.72720872479646725</v>
      </c>
      <c r="E1028" s="268">
        <f t="shared" si="83"/>
        <v>0.7236632069612865</v>
      </c>
      <c r="F1028" s="268">
        <f t="shared" si="83"/>
        <v>0.72127856601481777</v>
      </c>
      <c r="H1028" s="3">
        <f>H1027/H1026</f>
        <v>0.70126316157368673</v>
      </c>
      <c r="I1028" s="3">
        <f t="shared" ref="I1028" si="84">I1027/I1026</f>
        <v>0.7203832882479333</v>
      </c>
      <c r="J1028" s="3">
        <f t="shared" ref="J1028" si="85">J1027/J1026</f>
        <v>0.73219285035035842</v>
      </c>
      <c r="K1028" s="3">
        <f t="shared" ref="K1028" si="86">K1027/K1026</f>
        <v>0.75581197455520865</v>
      </c>
    </row>
    <row r="1030" spans="2:11" x14ac:dyDescent="0.55000000000000004">
      <c r="B1030" s="226" t="s">
        <v>183</v>
      </c>
      <c r="C1030" s="228">
        <f>Master!I210</f>
        <v>168.2394188834601</v>
      </c>
      <c r="D1030" s="228">
        <f>Master!J210</f>
        <v>249.29214981000001</v>
      </c>
      <c r="E1030" s="228">
        <f>Master!K210</f>
        <v>313.98192328897062</v>
      </c>
      <c r="F1030" s="228">
        <f>Master!L210</f>
        <v>380.36750366702643</v>
      </c>
      <c r="H1030" s="9">
        <v>211.83787849730564</v>
      </c>
      <c r="I1030" s="9">
        <v>314.48424832725954</v>
      </c>
      <c r="J1030" s="9">
        <v>419.53673284820627</v>
      </c>
      <c r="K1030" s="9">
        <v>541.65774940222798</v>
      </c>
    </row>
    <row r="1031" spans="2:11" x14ac:dyDescent="0.55000000000000004">
      <c r="B1031" t="s">
        <v>110</v>
      </c>
      <c r="C1031" s="9">
        <f>Master!I234</f>
        <v>130.59153510676808</v>
      </c>
      <c r="D1031" s="9">
        <f>Master!J234</f>
        <v>195.43371984800001</v>
      </c>
      <c r="E1031" s="9">
        <f>Master!K234</f>
        <v>247.18553863117648</v>
      </c>
      <c r="F1031" s="9">
        <f>Master!L234</f>
        <v>300.29400293362113</v>
      </c>
      <c r="H1031" s="9">
        <v>185.23462854525019</v>
      </c>
      <c r="I1031" s="9">
        <v>266.07708362835285</v>
      </c>
      <c r="J1031" s="9">
        <v>352.22012093552917</v>
      </c>
      <c r="K1031" s="9">
        <v>452.35935450982697</v>
      </c>
    </row>
    <row r="1032" spans="2:11" x14ac:dyDescent="0.55000000000000004">
      <c r="B1032" s="226" t="s">
        <v>106</v>
      </c>
      <c r="C1032" s="268">
        <f>C1031/C1024</f>
        <v>0.16430044759095341</v>
      </c>
      <c r="D1032" s="268">
        <f t="shared" ref="D1032:F1032" si="87">D1031/D1024</f>
        <v>0.19560342537985959</v>
      </c>
      <c r="E1032" s="268">
        <f t="shared" si="87"/>
        <v>0.19662442219072376</v>
      </c>
      <c r="F1032" s="268">
        <f t="shared" si="87"/>
        <v>0.19503693411022993</v>
      </c>
      <c r="H1032" s="3">
        <f>H1031/H1024</f>
        <v>0.22337433783046348</v>
      </c>
      <c r="I1032" s="3">
        <f t="shared" ref="I1032" si="88">I1031/I1024</f>
        <v>0.23167023854848415</v>
      </c>
      <c r="J1032" s="3">
        <f t="shared" ref="J1032" si="89">J1031/J1024</f>
        <v>0.23601698229658061</v>
      </c>
      <c r="K1032" s="3">
        <f t="shared" ref="K1032" si="90">K1031/K1024</f>
        <v>0.24437670619277066</v>
      </c>
    </row>
    <row r="1034" spans="2:11" x14ac:dyDescent="0.55000000000000004">
      <c r="B1034" s="429"/>
      <c r="C1034" s="430" t="s">
        <v>1431</v>
      </c>
      <c r="D1034" s="430" t="s">
        <v>1431</v>
      </c>
      <c r="E1034" s="430" t="s">
        <v>1431</v>
      </c>
      <c r="F1034" s="430" t="s">
        <v>1431</v>
      </c>
    </row>
    <row r="1035" spans="2:11" x14ac:dyDescent="0.55000000000000004">
      <c r="B1035" s="1" t="s">
        <v>129</v>
      </c>
      <c r="C1035" s="1">
        <v>2024</v>
      </c>
      <c r="D1035" s="1">
        <f>C1035+1</f>
        <v>2025</v>
      </c>
      <c r="E1035" s="1">
        <f>D1035+1</f>
        <v>2026</v>
      </c>
      <c r="F1035" s="1">
        <f>E1035+1</f>
        <v>2027</v>
      </c>
    </row>
    <row r="1036" spans="2:11" x14ac:dyDescent="0.55000000000000004">
      <c r="B1036" s="429" t="s">
        <v>0</v>
      </c>
      <c r="C1036" s="431">
        <f>C1022/H1022-1</f>
        <v>-2.6404123668012369E-2</v>
      </c>
      <c r="D1036" s="431">
        <f>D1022/I1022-1</f>
        <v>-5.493756188358967E-2</v>
      </c>
      <c r="E1036" s="431">
        <f>E1022/J1022-1</f>
        <v>-0.10235421938231715</v>
      </c>
      <c r="F1036" s="431">
        <f>F1022/K1022-1</f>
        <v>-0.10878546411075218</v>
      </c>
      <c r="H1036" s="3"/>
    </row>
    <row r="1037" spans="2:11" x14ac:dyDescent="0.55000000000000004">
      <c r="H1037" s="3"/>
    </row>
    <row r="1038" spans="2:11" x14ac:dyDescent="0.55000000000000004">
      <c r="B1038" s="429" t="s">
        <v>130</v>
      </c>
      <c r="C1038" s="431">
        <f>C1024/H1024-1</f>
        <v>-4.1510455525541334E-2</v>
      </c>
      <c r="D1038" s="431">
        <f>D1024/I1024-1</f>
        <v>-0.13006697798586975</v>
      </c>
      <c r="E1038" s="431">
        <f>E1024/J1024-1</f>
        <v>-0.15760711301457986</v>
      </c>
      <c r="F1038" s="431">
        <f>F1024/K1024-1</f>
        <v>-0.16822468212994612</v>
      </c>
    </row>
    <row r="1040" spans="2:11" x14ac:dyDescent="0.55000000000000004">
      <c r="B1040" s="429" t="s">
        <v>105</v>
      </c>
      <c r="C1040" s="431">
        <f t="shared" ref="C1040:F1041" si="91">C1026/H1026-1</f>
        <v>-0.16137844611584184</v>
      </c>
      <c r="D1040" s="431">
        <f t="shared" si="91"/>
        <v>-0.22323216916162747</v>
      </c>
      <c r="E1040" s="431">
        <f t="shared" si="91"/>
        <v>-0.24707175189615804</v>
      </c>
      <c r="F1040" s="431">
        <f t="shared" si="91"/>
        <v>-0.26464086472242054</v>
      </c>
    </row>
    <row r="1041" spans="2:26" x14ac:dyDescent="0.55000000000000004">
      <c r="B1041" t="s">
        <v>3</v>
      </c>
      <c r="C1041" s="3">
        <f t="shared" si="91"/>
        <v>-0.1865631981128274</v>
      </c>
      <c r="D1041" s="3">
        <f t="shared" si="91"/>
        <v>-0.21587250434316074</v>
      </c>
      <c r="E1041" s="3">
        <f t="shared" si="91"/>
        <v>-0.25584295124727352</v>
      </c>
      <c r="F1041" s="3">
        <f t="shared" si="91"/>
        <v>-0.29823977330996132</v>
      </c>
    </row>
    <row r="1042" spans="2:26" x14ac:dyDescent="0.55000000000000004">
      <c r="B1042" s="429"/>
      <c r="C1042" s="431"/>
      <c r="D1042" s="431"/>
      <c r="E1042" s="431"/>
      <c r="F1042" s="431"/>
    </row>
    <row r="1043" spans="2:26" x14ac:dyDescent="0.55000000000000004">
      <c r="B1043" t="s">
        <v>183</v>
      </c>
      <c r="C1043" s="3">
        <f t="shared" ref="C1043:F1044" si="92">C1030/H1030-1</f>
        <v>-0.20581049962884734</v>
      </c>
      <c r="D1043" s="3">
        <f t="shared" si="92"/>
        <v>-0.20729845410069359</v>
      </c>
      <c r="E1043" s="3">
        <f t="shared" si="92"/>
        <v>-0.25159849256257316</v>
      </c>
      <c r="F1043" s="3">
        <f t="shared" si="92"/>
        <v>-0.29777150961691401</v>
      </c>
    </row>
    <row r="1044" spans="2:26" x14ac:dyDescent="0.55000000000000004">
      <c r="B1044" s="429" t="s">
        <v>110</v>
      </c>
      <c r="C1044" s="431">
        <f t="shared" si="92"/>
        <v>-0.29499394291242675</v>
      </c>
      <c r="D1044" s="431">
        <f t="shared" si="92"/>
        <v>-0.26549961694192736</v>
      </c>
      <c r="E1044" s="431">
        <f t="shared" si="92"/>
        <v>-0.29820721776306003</v>
      </c>
      <c r="F1044" s="431">
        <f t="shared" si="92"/>
        <v>-0.33616051057677954</v>
      </c>
    </row>
    <row r="1046" spans="2:26" x14ac:dyDescent="0.55000000000000004">
      <c r="C1046" s="3"/>
      <c r="D1046" s="3"/>
      <c r="E1046" s="3"/>
      <c r="F1046" s="3"/>
    </row>
    <row r="1047" spans="2:26" x14ac:dyDescent="0.55000000000000004">
      <c r="B1047" s="14"/>
      <c r="C1047" s="43" t="s">
        <v>2040</v>
      </c>
      <c r="D1047" s="43" t="s">
        <v>2041</v>
      </c>
      <c r="E1047" s="43" t="s">
        <v>2042</v>
      </c>
      <c r="F1047" s="43" t="s">
        <v>2043</v>
      </c>
      <c r="G1047" s="43" t="s">
        <v>2044</v>
      </c>
      <c r="H1047" s="43" t="s">
        <v>2045</v>
      </c>
      <c r="I1047" s="43" t="s">
        <v>2046</v>
      </c>
      <c r="J1047" s="43" t="s">
        <v>2047</v>
      </c>
      <c r="K1047" s="43" t="s">
        <v>2048</v>
      </c>
      <c r="L1047" s="43" t="s">
        <v>2049</v>
      </c>
      <c r="M1047" s="43" t="s">
        <v>2050</v>
      </c>
      <c r="N1047" s="43" t="s">
        <v>1761</v>
      </c>
      <c r="O1047" s="43" t="str">
        <f>C1047</f>
        <v xml:space="preserve">Jan </v>
      </c>
      <c r="P1047" s="43" t="str">
        <f t="shared" ref="P1047:Z1047" si="93">D1047</f>
        <v xml:space="preserve">Feb </v>
      </c>
      <c r="Q1047" s="43" t="str">
        <f t="shared" si="93"/>
        <v>Mar</v>
      </c>
      <c r="R1047" s="43" t="str">
        <f t="shared" si="93"/>
        <v>Apr</v>
      </c>
      <c r="S1047" s="43" t="str">
        <f t="shared" si="93"/>
        <v>May</v>
      </c>
      <c r="T1047" s="43" t="str">
        <f t="shared" si="93"/>
        <v>Jun</v>
      </c>
      <c r="U1047" s="43" t="str">
        <f t="shared" si="93"/>
        <v>Jul</v>
      </c>
      <c r="V1047" s="43" t="str">
        <f t="shared" si="93"/>
        <v>Aug</v>
      </c>
      <c r="W1047" s="43" t="str">
        <f t="shared" si="93"/>
        <v>Sep</v>
      </c>
      <c r="X1047" s="43" t="str">
        <f t="shared" si="93"/>
        <v>Oct</v>
      </c>
      <c r="Y1047" s="43" t="str">
        <f t="shared" si="93"/>
        <v>Nov</v>
      </c>
      <c r="Z1047" s="43" t="str">
        <f t="shared" si="93"/>
        <v>Dec</v>
      </c>
    </row>
    <row r="1048" spans="2:26" x14ac:dyDescent="0.55000000000000004">
      <c r="B1048" t="s">
        <v>2128</v>
      </c>
      <c r="C1048" s="62">
        <f t="shared" ref="C1048:N1048" si="94">C1050-C1049</f>
        <v>19</v>
      </c>
      <c r="D1048" s="62">
        <f t="shared" si="94"/>
        <v>19</v>
      </c>
      <c r="E1048" s="62">
        <f t="shared" si="94"/>
        <v>25</v>
      </c>
      <c r="F1048" s="62">
        <f t="shared" si="94"/>
        <v>21</v>
      </c>
      <c r="G1048" s="62">
        <f t="shared" si="94"/>
        <v>22</v>
      </c>
      <c r="H1048" s="62">
        <f t="shared" si="94"/>
        <v>22.36</v>
      </c>
      <c r="I1048" s="62">
        <f t="shared" si="94"/>
        <v>23</v>
      </c>
      <c r="J1048" s="62">
        <f t="shared" si="94"/>
        <v>23</v>
      </c>
      <c r="K1048" s="62">
        <f t="shared" si="94"/>
        <v>23.299999999999997</v>
      </c>
      <c r="L1048" s="62">
        <f t="shared" si="94"/>
        <v>25</v>
      </c>
      <c r="M1048" s="62">
        <f t="shared" si="94"/>
        <v>25</v>
      </c>
      <c r="N1048" s="62">
        <f t="shared" si="94"/>
        <v>24.928750228136906</v>
      </c>
      <c r="O1048" s="37"/>
      <c r="P1048" s="37"/>
      <c r="Q1048" s="37"/>
      <c r="R1048" s="37"/>
      <c r="S1048" s="37"/>
      <c r="T1048" s="37"/>
      <c r="U1048" s="37"/>
      <c r="V1048" s="37"/>
      <c r="W1048" s="37"/>
      <c r="X1048" s="37"/>
      <c r="Y1048" s="37"/>
      <c r="Z1048" s="37"/>
    </row>
    <row r="1049" spans="2:26" x14ac:dyDescent="0.55000000000000004">
      <c r="B1049" t="s">
        <v>2129</v>
      </c>
      <c r="C1049" s="401"/>
      <c r="D1049" s="401"/>
      <c r="E1049" s="401"/>
      <c r="F1049" s="401"/>
      <c r="G1049" s="401"/>
      <c r="H1049" s="401"/>
      <c r="I1049" s="401">
        <v>1</v>
      </c>
      <c r="J1049" s="401">
        <v>2</v>
      </c>
      <c r="K1049" s="37">
        <f>5-I1049-J1049</f>
        <v>2</v>
      </c>
      <c r="L1049" s="401">
        <v>2</v>
      </c>
      <c r="M1049" s="401">
        <v>3</v>
      </c>
      <c r="N1049" s="37">
        <f>10-L1049-M1049</f>
        <v>5</v>
      </c>
      <c r="O1049" s="37"/>
      <c r="P1049" s="37"/>
      <c r="Q1049" s="37"/>
      <c r="R1049" s="37"/>
      <c r="S1049" s="37"/>
      <c r="T1049" s="37"/>
      <c r="U1049" s="37"/>
      <c r="V1049" s="37"/>
      <c r="W1049" s="37"/>
    </row>
    <row r="1050" spans="2:26" x14ac:dyDescent="0.55000000000000004">
      <c r="B1050" t="s">
        <v>2051</v>
      </c>
      <c r="C1050">
        <f>D1050</f>
        <v>19</v>
      </c>
      <c r="D1050">
        <f>(E1052-E1050)/2</f>
        <v>19</v>
      </c>
      <c r="E1050">
        <v>25</v>
      </c>
      <c r="F1050" s="401">
        <v>21</v>
      </c>
      <c r="G1050" s="401">
        <v>22</v>
      </c>
      <c r="H1050" s="9">
        <f>H1052-F1050-G1050</f>
        <v>22.36</v>
      </c>
      <c r="I1050" s="401">
        <v>24</v>
      </c>
      <c r="J1050" s="401">
        <v>25</v>
      </c>
      <c r="K1050" s="9">
        <f>K1052-I1050-J1050</f>
        <v>25.299999999999997</v>
      </c>
      <c r="L1050" s="401">
        <v>27</v>
      </c>
      <c r="M1050" s="401">
        <v>28</v>
      </c>
      <c r="N1050" s="9">
        <f>N1052-L1050-M1050</f>
        <v>29.928750228136906</v>
      </c>
      <c r="O1050" s="401">
        <v>26</v>
      </c>
      <c r="P1050" s="401">
        <v>26</v>
      </c>
      <c r="Q1050" s="9">
        <f>Q1052-O1050-P1050</f>
        <v>28.859999999999985</v>
      </c>
    </row>
    <row r="1051" spans="2:26" x14ac:dyDescent="0.55000000000000004">
      <c r="B1051" t="s">
        <v>2118</v>
      </c>
      <c r="F1051" s="401"/>
      <c r="G1051" s="401"/>
      <c r="H1051" s="9"/>
      <c r="I1051" s="401"/>
      <c r="J1051" s="401"/>
      <c r="K1051" s="9"/>
      <c r="L1051" s="401"/>
      <c r="M1051" s="401"/>
      <c r="N1051" s="9"/>
      <c r="O1051" s="2">
        <f>O1050/C1050-1</f>
        <v>0.36842105263157898</v>
      </c>
      <c r="P1051" s="2">
        <f>P1050/D1050-1</f>
        <v>0.36842105263157898</v>
      </c>
      <c r="Q1051" s="2">
        <f>Q1050/E1050-1</f>
        <v>0.15439999999999943</v>
      </c>
    </row>
    <row r="1052" spans="2:26" x14ac:dyDescent="0.55000000000000004">
      <c r="B1052" t="s">
        <v>2052</v>
      </c>
      <c r="E1052">
        <f>Quarts!W79</f>
        <v>63</v>
      </c>
      <c r="H1052" s="9">
        <f>Quarts!Y79</f>
        <v>65.36</v>
      </c>
      <c r="K1052" s="9">
        <f>Quarts!Z79</f>
        <v>74.3</v>
      </c>
      <c r="N1052" s="9">
        <f>Quarts!AA79</f>
        <v>84.928750228136906</v>
      </c>
      <c r="Q1052" s="9">
        <f>Quarts!AB79</f>
        <v>80.859999999999985</v>
      </c>
      <c r="T1052" s="9">
        <f>Quarts!AC79</f>
        <v>90.13000000000001</v>
      </c>
      <c r="W1052" s="9">
        <f>Quarts!AD79</f>
        <v>94.77000000000001</v>
      </c>
      <c r="Z1052" s="9">
        <f>Quarts!AE79</f>
        <v>111.95537849999999</v>
      </c>
    </row>
    <row r="1053" spans="2:26" x14ac:dyDescent="0.55000000000000004">
      <c r="B1053" t="s">
        <v>2119</v>
      </c>
      <c r="H1053" s="9"/>
      <c r="K1053" s="9"/>
      <c r="N1053" s="9"/>
      <c r="Q1053" s="2">
        <f>Q1052/N1052-1</f>
        <v>-4.790780762942326E-2</v>
      </c>
    </row>
    <row r="1054" spans="2:26" x14ac:dyDescent="0.55000000000000004">
      <c r="B1054" t="s">
        <v>2118</v>
      </c>
      <c r="H1054" s="9"/>
      <c r="K1054" s="9"/>
      <c r="N1054" s="9"/>
      <c r="Q1054" s="2">
        <f>Q1052/E1052-1</f>
        <v>0.28349206349206324</v>
      </c>
      <c r="T1054" s="2">
        <f>T1052/H1052-1</f>
        <v>0.37897796817625484</v>
      </c>
      <c r="W1054" s="2">
        <f>W1052/K1052-1</f>
        <v>0.27550471063257076</v>
      </c>
      <c r="Z1054" s="2">
        <f>Z1052/N1052-1</f>
        <v>0.31822708092682106</v>
      </c>
    </row>
    <row r="1055" spans="2:26" x14ac:dyDescent="0.55000000000000004">
      <c r="B1055" t="s">
        <v>2120</v>
      </c>
      <c r="N1055" s="9">
        <f>E1052+H1052+K1052+N1052</f>
        <v>287.58875022813692</v>
      </c>
      <c r="Q1055" s="2"/>
      <c r="Z1055" s="9">
        <f>Q1052+T1052+W1052+Z1052</f>
        <v>377.71537849999999</v>
      </c>
    </row>
    <row r="1056" spans="2:26" x14ac:dyDescent="0.55000000000000004">
      <c r="Z1056" s="2">
        <f>Z1055/N1055-1</f>
        <v>0.31338718291437995</v>
      </c>
    </row>
    <row r="1058" spans="2:15" ht="14.7" thickBot="1" x14ac:dyDescent="0.6"/>
    <row r="1059" spans="2:15" x14ac:dyDescent="0.55000000000000004">
      <c r="B1059" s="1" t="s">
        <v>2056</v>
      </c>
      <c r="C1059" s="1"/>
      <c r="D1059" s="5" t="str">
        <f>Quarts!S2</f>
        <v>Q1 23</v>
      </c>
      <c r="E1059" s="5" t="str">
        <f>Quarts!T2</f>
        <v>Q2 23</v>
      </c>
      <c r="F1059" s="5" t="str">
        <f>Quarts!U2</f>
        <v>Q3 23</v>
      </c>
      <c r="G1059" s="5" t="str">
        <f>Quarts!V2</f>
        <v>Q4 23</v>
      </c>
      <c r="H1059" s="5" t="str">
        <f>Quarts!W2</f>
        <v>Q1 24</v>
      </c>
      <c r="I1059" s="356" t="str">
        <f>Quarts!Y2</f>
        <v>Q2 24E</v>
      </c>
      <c r="J1059" s="5" t="str">
        <f>Quarts!Z2</f>
        <v>Q3 24E</v>
      </c>
      <c r="K1059" s="5" t="str">
        <f>Quarts!AA2</f>
        <v>Q4 24E</v>
      </c>
      <c r="L1059" s="5" t="str">
        <f>Quarts!AB2</f>
        <v>Q1 25E</v>
      </c>
      <c r="M1059" s="5" t="str">
        <f>Quarts!AC2</f>
        <v>Q2 25E</v>
      </c>
      <c r="N1059" s="5" t="str">
        <f>Quarts!AD2</f>
        <v>Q3 25E</v>
      </c>
      <c r="O1059" s="5" t="str">
        <f>Quarts!AE2</f>
        <v>Q4 25E</v>
      </c>
    </row>
    <row r="1060" spans="2:15" x14ac:dyDescent="0.55000000000000004">
      <c r="B1060" s="226" t="str">
        <f>Quarts!B24</f>
        <v>Brazil</v>
      </c>
      <c r="C1060" s="226"/>
      <c r="D1060" s="229">
        <f>Quarts!S24</f>
        <v>22.8</v>
      </c>
      <c r="E1060" s="229">
        <f>Quarts!T24</f>
        <v>41.2</v>
      </c>
      <c r="F1060" s="229">
        <f>Quarts!U24</f>
        <v>44.7</v>
      </c>
      <c r="G1060" s="229">
        <f>Quarts!V24</f>
        <v>50.2</v>
      </c>
      <c r="H1060" s="229">
        <f>Quarts!W24</f>
        <v>43.1</v>
      </c>
      <c r="I1060" s="412">
        <f>Quarts!Y24</f>
        <v>50</v>
      </c>
      <c r="J1060" s="229">
        <f>Quarts!Z24</f>
        <v>61</v>
      </c>
      <c r="K1060" s="229">
        <f>Quarts!AA24</f>
        <v>73.374714828897368</v>
      </c>
      <c r="L1060" s="229">
        <f>Quarts!AB24</f>
        <v>67</v>
      </c>
      <c r="M1060" s="229">
        <f>Quarts!AC24</f>
        <v>71</v>
      </c>
      <c r="N1060" s="229">
        <f>Quarts!AD24</f>
        <v>73</v>
      </c>
      <c r="O1060" s="229">
        <f>Quarts!AE24</f>
        <v>88.129250000000013</v>
      </c>
    </row>
    <row r="1061" spans="2:15" x14ac:dyDescent="0.55000000000000004">
      <c r="B1061" t="str">
        <f>Quarts!B25</f>
        <v>Argentina</v>
      </c>
      <c r="D1061" s="13">
        <f>Quarts!S25</f>
        <v>20</v>
      </c>
      <c r="E1061" s="13">
        <f>Quarts!T25</f>
        <v>20.7</v>
      </c>
      <c r="F1061" s="13">
        <f>Quarts!U25</f>
        <v>23.9</v>
      </c>
      <c r="G1061" s="13">
        <f>Quarts!V25</f>
        <v>10.5</v>
      </c>
      <c r="H1061" s="13">
        <f>Quarts!W25</f>
        <v>13.8</v>
      </c>
      <c r="I1061" s="413">
        <f>Quarts!Y25</f>
        <v>16</v>
      </c>
      <c r="J1061" s="13">
        <f>Quarts!Z25</f>
        <v>17</v>
      </c>
      <c r="K1061" s="13">
        <f>Quarts!AA25</f>
        <v>17.200000000000003</v>
      </c>
      <c r="L1061" s="13">
        <f>Quarts!AB25</f>
        <v>18</v>
      </c>
      <c r="M1061" s="13">
        <f>Quarts!AC25</f>
        <v>19</v>
      </c>
      <c r="N1061" s="13">
        <f>Quarts!AD25</f>
        <v>19</v>
      </c>
      <c r="O1061" s="13">
        <f>Quarts!AE25</f>
        <v>19.519999999999996</v>
      </c>
    </row>
    <row r="1062" spans="2:15" x14ac:dyDescent="0.55000000000000004">
      <c r="B1062" s="226" t="str">
        <f>Quarts!B26</f>
        <v>Mexico</v>
      </c>
      <c r="C1062" s="226"/>
      <c r="D1062" s="229">
        <f>Quarts!S26</f>
        <v>22.7</v>
      </c>
      <c r="E1062" s="229">
        <f>Quarts!T26</f>
        <v>28.3</v>
      </c>
      <c r="F1062" s="229">
        <f>Quarts!U26</f>
        <v>30.2</v>
      </c>
      <c r="G1062" s="229">
        <f>Quarts!V26</f>
        <v>35.6</v>
      </c>
      <c r="H1062" s="229">
        <f>Quarts!W26</f>
        <v>34</v>
      </c>
      <c r="I1062" s="412">
        <f>Quarts!Y26</f>
        <v>37</v>
      </c>
      <c r="J1062" s="229">
        <f>Quarts!Z26</f>
        <v>40</v>
      </c>
      <c r="K1062" s="229">
        <f>Quarts!AA26</f>
        <v>44.344000000000023</v>
      </c>
      <c r="L1062" s="229">
        <f>Quarts!AB26</f>
        <v>45</v>
      </c>
      <c r="M1062" s="229">
        <f>Quarts!AC26</f>
        <v>49</v>
      </c>
      <c r="N1062" s="229">
        <f>Quarts!AD26</f>
        <v>55</v>
      </c>
      <c r="O1062" s="229">
        <f>Quarts!AE26</f>
        <v>60.71440000000004</v>
      </c>
    </row>
    <row r="1063" spans="2:15" x14ac:dyDescent="0.55000000000000004">
      <c r="B1063" t="str">
        <f>Quarts!B27</f>
        <v>Chile</v>
      </c>
      <c r="D1063" s="13">
        <f>Quarts!S27</f>
        <v>14.2</v>
      </c>
      <c r="E1063" s="13">
        <f>Quarts!T27</f>
        <v>14.2</v>
      </c>
      <c r="F1063" s="13">
        <f>Quarts!U27</f>
        <v>12.4</v>
      </c>
      <c r="G1063" s="13">
        <f>Quarts!V27</f>
        <v>14.9</v>
      </c>
      <c r="H1063" s="13">
        <f>Quarts!W27</f>
        <v>12.4</v>
      </c>
      <c r="I1063" s="413">
        <f>Quarts!Y27</f>
        <v>14</v>
      </c>
      <c r="J1063" s="13">
        <f>Quarts!Z27</f>
        <v>16</v>
      </c>
      <c r="K1063" s="13">
        <f>Quarts!AA27</f>
        <v>16.600000000000001</v>
      </c>
      <c r="L1063" s="13">
        <f>Quarts!AB27</f>
        <v>17</v>
      </c>
      <c r="M1063" s="13">
        <f>Quarts!AC27</f>
        <v>18</v>
      </c>
      <c r="N1063" s="13">
        <f>Quarts!AD27</f>
        <v>18</v>
      </c>
      <c r="O1063" s="13">
        <f>Quarts!AE27</f>
        <v>20.75</v>
      </c>
    </row>
    <row r="1064" spans="2:15" x14ac:dyDescent="0.55000000000000004">
      <c r="B1064" s="235" t="str">
        <f>Quarts!B28</f>
        <v>Other LatAm</v>
      </c>
      <c r="C1064" s="235"/>
      <c r="D1064" s="351">
        <f>Quarts!S28</f>
        <v>18.5</v>
      </c>
      <c r="E1064" s="351">
        <f>Quarts!T28</f>
        <v>22.5</v>
      </c>
      <c r="F1064" s="351">
        <f>Quarts!U28</f>
        <v>24.8</v>
      </c>
      <c r="G1064" s="351">
        <f>Quarts!V28</f>
        <v>20.3</v>
      </c>
      <c r="H1064" s="351">
        <f>Quarts!W28</f>
        <v>22.1</v>
      </c>
      <c r="I1064" s="414">
        <f>Quarts!Y28</f>
        <v>24</v>
      </c>
      <c r="J1064" s="351">
        <f>Quarts!Z28</f>
        <v>25</v>
      </c>
      <c r="K1064" s="351">
        <f>Quarts!AA28</f>
        <v>27.914999999999992</v>
      </c>
      <c r="L1064" s="351">
        <f>Quarts!AB28</f>
        <v>28</v>
      </c>
      <c r="M1064" s="351">
        <f>Quarts!AC28</f>
        <v>30</v>
      </c>
      <c r="N1064" s="351">
        <f>Quarts!AD28</f>
        <v>32</v>
      </c>
      <c r="O1064" s="351">
        <f>Quarts!AE28</f>
        <v>33.768749999999983</v>
      </c>
    </row>
    <row r="1065" spans="2:15" x14ac:dyDescent="0.55000000000000004">
      <c r="B1065" s="56" t="str">
        <f>Quarts!B29</f>
        <v>LatAm</v>
      </c>
      <c r="C1065" s="56"/>
      <c r="D1065" s="411">
        <f>Quarts!S29</f>
        <v>98.2</v>
      </c>
      <c r="E1065" s="411">
        <f>Quarts!T29</f>
        <v>126.9</v>
      </c>
      <c r="F1065" s="411">
        <f>Quarts!U29</f>
        <v>136</v>
      </c>
      <c r="G1065" s="411">
        <f>Quarts!V29</f>
        <v>131.50000000000003</v>
      </c>
      <c r="H1065" s="411">
        <f>Quarts!W29</f>
        <v>125.4</v>
      </c>
      <c r="I1065" s="415">
        <f>Quarts!Y29</f>
        <v>141</v>
      </c>
      <c r="J1065" s="411">
        <f>Quarts!Z29</f>
        <v>159</v>
      </c>
      <c r="K1065" s="411">
        <f>Quarts!AA29</f>
        <v>179.43371482889739</v>
      </c>
      <c r="L1065" s="411">
        <f>Quarts!AB29</f>
        <v>175</v>
      </c>
      <c r="M1065" s="411">
        <f>Quarts!AC29</f>
        <v>187</v>
      </c>
      <c r="N1065" s="411">
        <f>Quarts!AD29</f>
        <v>197</v>
      </c>
      <c r="O1065" s="411">
        <f>Quarts!AE29</f>
        <v>222.88240000000005</v>
      </c>
    </row>
    <row r="1066" spans="2:15" x14ac:dyDescent="0.55000000000000004">
      <c r="B1066" s="226" t="str">
        <f>Quarts!B31</f>
        <v>Nigeria</v>
      </c>
      <c r="C1066" s="226"/>
      <c r="D1066" s="229">
        <f>Quarts!S31</f>
        <v>26.9</v>
      </c>
      <c r="E1066" s="229">
        <f>Quarts!T31</f>
        <v>20.399999999999999</v>
      </c>
      <c r="F1066" s="229">
        <f>Quarts!U31</f>
        <v>8.3000000000000007</v>
      </c>
      <c r="G1066" s="229">
        <f>Quarts!V31</f>
        <v>28.4</v>
      </c>
      <c r="H1066" s="229">
        <f>Quarts!W31</f>
        <v>7.2</v>
      </c>
      <c r="I1066" s="412">
        <f>Quarts!Y31</f>
        <v>9</v>
      </c>
      <c r="J1066" s="229">
        <f>Quarts!Z31</f>
        <v>12</v>
      </c>
      <c r="K1066" s="229">
        <f>Quarts!AA31</f>
        <v>14.799999999999997</v>
      </c>
      <c r="L1066" s="229">
        <f>Quarts!AB31</f>
        <v>15</v>
      </c>
      <c r="M1066" s="229">
        <f>Quarts!AC31</f>
        <v>16</v>
      </c>
      <c r="N1066" s="229">
        <f>Quarts!AD31</f>
        <v>17</v>
      </c>
      <c r="O1066" s="229">
        <f>Quarts!AE31</f>
        <v>18.650000000000006</v>
      </c>
    </row>
    <row r="1067" spans="2:15" x14ac:dyDescent="0.55000000000000004">
      <c r="B1067" t="str">
        <f>Quarts!B32</f>
        <v>Egypt</v>
      </c>
      <c r="D1067" s="13">
        <f>Quarts!S32</f>
        <v>3.5</v>
      </c>
      <c r="E1067" s="13">
        <f>Quarts!T32</f>
        <v>4.7</v>
      </c>
      <c r="F1067" s="13">
        <f>Quarts!U32</f>
        <v>10.1</v>
      </c>
      <c r="G1067" s="13">
        <f>Quarts!V32</f>
        <v>18.399999999999999</v>
      </c>
      <c r="H1067" s="13">
        <f>Quarts!W32</f>
        <v>39</v>
      </c>
      <c r="I1067" s="413">
        <f>Quarts!Y32</f>
        <v>15</v>
      </c>
      <c r="J1067" s="13">
        <f>Quarts!Z32</f>
        <v>16</v>
      </c>
      <c r="K1067" s="13">
        <f>Quarts!AA32</f>
        <v>15</v>
      </c>
      <c r="L1067" s="13">
        <f>Quarts!AB32</f>
        <v>16</v>
      </c>
      <c r="M1067" s="13">
        <f>Quarts!AC32</f>
        <v>17</v>
      </c>
      <c r="N1067" s="13">
        <f>Quarts!AD32</f>
        <v>18</v>
      </c>
      <c r="O1067" s="13">
        <f>Quarts!AE32</f>
        <v>19</v>
      </c>
    </row>
    <row r="1068" spans="2:15" x14ac:dyDescent="0.55000000000000004">
      <c r="B1068" s="235" t="str">
        <f>Quarts!B33</f>
        <v>Other</v>
      </c>
      <c r="C1068" s="235"/>
      <c r="D1068" s="351">
        <f>Quarts!S33</f>
        <v>8.7000000000000099</v>
      </c>
      <c r="E1068" s="351">
        <f>Quarts!T33</f>
        <v>9.0999999999999908</v>
      </c>
      <c r="F1068" s="351">
        <f>Quarts!U33</f>
        <v>9.5000000000000053</v>
      </c>
      <c r="G1068" s="351">
        <f ca="1">Quarts!V33</f>
        <v>9.7000000000000028</v>
      </c>
      <c r="H1068" s="351">
        <f ca="1">Quarts!W33</f>
        <v>12.799999999999997</v>
      </c>
      <c r="I1068" s="414">
        <f>Quarts!Y33</f>
        <v>14</v>
      </c>
      <c r="J1068" s="351">
        <f>Quarts!Z33</f>
        <v>16</v>
      </c>
      <c r="K1068" s="351">
        <f ca="1">Quarts!AA33</f>
        <v>19.200000000000003</v>
      </c>
      <c r="L1068" s="351">
        <f>Quarts!AB33</f>
        <v>17</v>
      </c>
      <c r="M1068" s="351">
        <f>Quarts!AC33</f>
        <v>18</v>
      </c>
      <c r="N1068" s="351">
        <f>Quarts!AD33</f>
        <v>19</v>
      </c>
      <c r="O1068" s="351">
        <f>Quarts!AE33</f>
        <v>26.600000000000009</v>
      </c>
    </row>
    <row r="1069" spans="2:15" ht="14.7" thickBot="1" x14ac:dyDescent="0.6">
      <c r="B1069" s="56" t="str">
        <f>Quarts!B34</f>
        <v>Africa / Asia</v>
      </c>
      <c r="C1069" s="56"/>
      <c r="D1069" s="411">
        <f>Quarts!S34</f>
        <v>39.100000000000009</v>
      </c>
      <c r="E1069" s="411">
        <f>Quarts!T34</f>
        <v>34.199999999999989</v>
      </c>
      <c r="F1069" s="411">
        <f>Quarts!U34</f>
        <v>27.900000000000006</v>
      </c>
      <c r="G1069" s="411">
        <f ca="1">Quarts!V34</f>
        <v>56.5</v>
      </c>
      <c r="H1069" s="411">
        <f ca="1">Quarts!W34</f>
        <v>59</v>
      </c>
      <c r="I1069" s="415">
        <f>Quarts!Y34</f>
        <v>38</v>
      </c>
      <c r="J1069" s="411">
        <f>Quarts!Z34</f>
        <v>44</v>
      </c>
      <c r="K1069" s="411">
        <f ca="1">Quarts!AA34</f>
        <v>49</v>
      </c>
      <c r="L1069" s="411">
        <f>Quarts!AB34</f>
        <v>48</v>
      </c>
      <c r="M1069" s="411">
        <f>Quarts!AC34</f>
        <v>51</v>
      </c>
      <c r="N1069" s="411">
        <f>Quarts!AD34</f>
        <v>54</v>
      </c>
      <c r="O1069" s="411">
        <f>Quarts!AE34</f>
        <v>64.250000000000014</v>
      </c>
    </row>
    <row r="1070" spans="2:15" ht="14.7" thickBot="1" x14ac:dyDescent="0.6">
      <c r="B1070" s="292" t="str">
        <f>Quarts!B35</f>
        <v>Gross revenue</v>
      </c>
      <c r="C1070" s="402"/>
      <c r="D1070" s="403">
        <f>Quarts!S35</f>
        <v>137.30000000000001</v>
      </c>
      <c r="E1070" s="403">
        <f>Quarts!T35</f>
        <v>161.1</v>
      </c>
      <c r="F1070" s="403">
        <f>Quarts!U35</f>
        <v>163.9</v>
      </c>
      <c r="G1070" s="403">
        <f>Quarts!V35</f>
        <v>188</v>
      </c>
      <c r="H1070" s="403">
        <f>Quarts!W35</f>
        <v>184.4</v>
      </c>
      <c r="I1070" s="416">
        <f>Quarts!Y35</f>
        <v>179</v>
      </c>
      <c r="J1070" s="403">
        <f>Quarts!Z35</f>
        <v>203</v>
      </c>
      <c r="K1070" s="403">
        <f>Quarts!AA35</f>
        <v>228.43371482889745</v>
      </c>
      <c r="L1070" s="403">
        <f>Quarts!AB35</f>
        <v>223</v>
      </c>
      <c r="M1070" s="403">
        <f>Quarts!AC35</f>
        <v>238</v>
      </c>
      <c r="N1070" s="403">
        <f>Quarts!AD35</f>
        <v>251</v>
      </c>
      <c r="O1070" s="404">
        <f>Quarts!AE35</f>
        <v>287.13239999999996</v>
      </c>
    </row>
    <row r="1071" spans="2:15" x14ac:dyDescent="0.55000000000000004">
      <c r="B1071" t="s">
        <v>2118</v>
      </c>
      <c r="C1071" s="10"/>
      <c r="D1071" s="2">
        <f>Quarts!AW35</f>
        <v>0.56914285714285717</v>
      </c>
      <c r="E1071" s="2">
        <f>Quarts!AX35</f>
        <v>0.59189723320158083</v>
      </c>
      <c r="F1071" s="2">
        <f>Quarts!AY35</f>
        <v>0.46470062555853442</v>
      </c>
      <c r="G1071" s="2">
        <f>Quarts!AZ35</f>
        <v>0.58783783783783772</v>
      </c>
      <c r="H1071" s="2">
        <f>Quarts!BA35</f>
        <v>0.34304442825928616</v>
      </c>
      <c r="I1071" s="2">
        <f>Quarts!BB35</f>
        <v>0.11111111111111116</v>
      </c>
      <c r="J1071" s="2">
        <f>Quarts!BC35</f>
        <v>0.23856009762050023</v>
      </c>
      <c r="K1071" s="2">
        <f>Quarts!BD35</f>
        <v>0.21507295121753955</v>
      </c>
      <c r="L1071" s="2">
        <f>Quarts!BE35</f>
        <v>0.20932754880694149</v>
      </c>
      <c r="M1071" s="2">
        <f>Quarts!BF35</f>
        <v>0.32960893854748607</v>
      </c>
      <c r="N1071" s="2">
        <f>Quarts!BG35</f>
        <v>0.23645320197044328</v>
      </c>
      <c r="O1071" s="2">
        <f>Quarts!BH35</f>
        <v>0.25696156635665313</v>
      </c>
    </row>
    <row r="1072" spans="2:15" ht="14.7" thickBot="1" x14ac:dyDescent="0.6">
      <c r="B1072" s="294" t="s">
        <v>1736</v>
      </c>
      <c r="C1072" s="226"/>
      <c r="D1072" s="226"/>
      <c r="E1072" s="226"/>
      <c r="F1072" s="226"/>
      <c r="G1072" s="226"/>
      <c r="H1072" s="226"/>
      <c r="I1072" s="226"/>
      <c r="J1072" s="226"/>
      <c r="K1072" s="226"/>
      <c r="L1072" s="226"/>
      <c r="M1072" s="226"/>
      <c r="N1072" s="226"/>
      <c r="O1072" s="226"/>
    </row>
    <row r="1073" spans="2:15" x14ac:dyDescent="0.55000000000000004">
      <c r="B1073" t="str">
        <f t="shared" ref="B1073:B1082" si="95">B1060</f>
        <v>Brazil</v>
      </c>
      <c r="D1073" s="9">
        <f>Quarts!S68</f>
        <v>11</v>
      </c>
      <c r="E1073" s="9">
        <f>Quarts!T68</f>
        <v>19.600000000000001</v>
      </c>
      <c r="F1073" s="9">
        <f>Quarts!U68</f>
        <v>22.7</v>
      </c>
      <c r="G1073" s="9">
        <f>Quarts!V68</f>
        <v>25.5</v>
      </c>
      <c r="H1073" s="9">
        <f>Quarts!W68</f>
        <v>17.899999999999999</v>
      </c>
      <c r="I1073" s="417">
        <f>Quarts!Y68</f>
        <v>21</v>
      </c>
      <c r="J1073" s="9">
        <f>Quarts!Z68</f>
        <v>25.619999999999997</v>
      </c>
      <c r="K1073" s="9">
        <f>Quarts!AA68</f>
        <v>31.019380228136903</v>
      </c>
      <c r="L1073" s="9">
        <f>Quarts!AB68</f>
        <v>27.47</v>
      </c>
      <c r="M1073" s="9">
        <f>Quarts!AC68</f>
        <v>31.24</v>
      </c>
      <c r="N1073" s="9">
        <f>Quarts!AD68</f>
        <v>32.119999999999997</v>
      </c>
      <c r="O1073" s="9">
        <f>Quarts!AE68</f>
        <v>40.786870000000015</v>
      </c>
    </row>
    <row r="1074" spans="2:15" x14ac:dyDescent="0.55000000000000004">
      <c r="B1074" s="226" t="str">
        <f t="shared" si="95"/>
        <v>Argentina</v>
      </c>
      <c r="C1074" s="226"/>
      <c r="D1074" s="228">
        <f>Quarts!S69</f>
        <v>17.8</v>
      </c>
      <c r="E1074" s="228">
        <f>Quarts!T69</f>
        <v>13.8</v>
      </c>
      <c r="F1074" s="228">
        <f>Quarts!U69</f>
        <v>13.1</v>
      </c>
      <c r="G1074" s="228">
        <f>Quarts!V69</f>
        <v>4</v>
      </c>
      <c r="H1074" s="228">
        <f>Quarts!W69</f>
        <v>5.2</v>
      </c>
      <c r="I1074" s="359">
        <f>Quarts!Y69</f>
        <v>6.4</v>
      </c>
      <c r="J1074" s="228">
        <f>Quarts!Z69</f>
        <v>6.97</v>
      </c>
      <c r="K1074" s="228">
        <f>Quarts!AA69</f>
        <v>7.030000000000002</v>
      </c>
      <c r="L1074" s="228">
        <f>Quarts!AB69</f>
        <v>7.0200000000000005</v>
      </c>
      <c r="M1074" s="228">
        <f>Quarts!AC69</f>
        <v>7.41</v>
      </c>
      <c r="N1074" s="228">
        <f>Quarts!AD69</f>
        <v>7.41</v>
      </c>
      <c r="O1074" s="228">
        <f>Quarts!AE69</f>
        <v>7.6128</v>
      </c>
    </row>
    <row r="1075" spans="2:15" x14ac:dyDescent="0.55000000000000004">
      <c r="B1075" t="str">
        <f t="shared" si="95"/>
        <v>Mexico</v>
      </c>
      <c r="D1075" s="9">
        <f>Quarts!S70</f>
        <v>6.9</v>
      </c>
      <c r="E1075" s="9">
        <f>Quarts!T70</f>
        <v>10.6</v>
      </c>
      <c r="F1075" s="9">
        <f>Quarts!U70</f>
        <v>7.9</v>
      </c>
      <c r="G1075" s="9">
        <f>Quarts!V70</f>
        <v>9.3000000000000007</v>
      </c>
      <c r="H1075" s="9">
        <f>Quarts!W70</f>
        <v>9.9</v>
      </c>
      <c r="I1075" s="358">
        <f>Quarts!Y70</f>
        <v>12.58</v>
      </c>
      <c r="J1075" s="9">
        <f>Quarts!Z70</f>
        <v>13.600000000000001</v>
      </c>
      <c r="K1075" s="9">
        <f>Quarts!AA70</f>
        <v>15.183520000000009</v>
      </c>
      <c r="L1075" s="9">
        <f>Quarts!AB70</f>
        <v>13.95</v>
      </c>
      <c r="M1075" s="9">
        <f>Quarts!AC70</f>
        <v>16.66</v>
      </c>
      <c r="N1075" s="9">
        <f>Quarts!AD70</f>
        <v>18.700000000000003</v>
      </c>
      <c r="O1075" s="9">
        <f>Quarts!AE70</f>
        <v>21.992896000000016</v>
      </c>
    </row>
    <row r="1076" spans="2:15" x14ac:dyDescent="0.55000000000000004">
      <c r="B1076" s="226" t="str">
        <f t="shared" si="95"/>
        <v>Chile</v>
      </c>
      <c r="C1076" s="226"/>
      <c r="D1076" s="228">
        <f>Quarts!S71</f>
        <v>9.1</v>
      </c>
      <c r="E1076" s="228">
        <f>Quarts!T71</f>
        <v>8.9</v>
      </c>
      <c r="F1076" s="228">
        <f>Quarts!U71</f>
        <v>6.9</v>
      </c>
      <c r="G1076" s="228">
        <f>Quarts!V71</f>
        <v>9.1</v>
      </c>
      <c r="H1076" s="228">
        <f>Quarts!W71</f>
        <v>7.5</v>
      </c>
      <c r="I1076" s="359">
        <f>Quarts!Y71</f>
        <v>8.4</v>
      </c>
      <c r="J1076" s="228">
        <f>Quarts!Z71</f>
        <v>9.6</v>
      </c>
      <c r="K1076" s="228">
        <f>Quarts!AA71</f>
        <v>9.9</v>
      </c>
      <c r="L1076" s="228">
        <f>Quarts!AB71</f>
        <v>9.3500000000000014</v>
      </c>
      <c r="M1076" s="228">
        <f>Quarts!AC71</f>
        <v>9.9</v>
      </c>
      <c r="N1076" s="228">
        <f>Quarts!AD71</f>
        <v>9.9</v>
      </c>
      <c r="O1076" s="228">
        <f>Quarts!AE71</f>
        <v>11.4125</v>
      </c>
    </row>
    <row r="1077" spans="2:15" x14ac:dyDescent="0.55000000000000004">
      <c r="B1077" s="14" t="str">
        <f t="shared" si="95"/>
        <v>Other LatAm</v>
      </c>
      <c r="C1077" s="14"/>
      <c r="D1077" s="18">
        <f>Quarts!S72</f>
        <v>8</v>
      </c>
      <c r="E1077" s="18">
        <f>Quarts!T72</f>
        <v>8.6999999999999993</v>
      </c>
      <c r="F1077" s="18">
        <f>Quarts!U72</f>
        <v>8.9</v>
      </c>
      <c r="G1077" s="18">
        <f>Quarts!V72</f>
        <v>7</v>
      </c>
      <c r="H1077" s="18">
        <f>Quarts!W72</f>
        <v>8.1</v>
      </c>
      <c r="I1077" s="418">
        <f>Quarts!Y72</f>
        <v>9.36</v>
      </c>
      <c r="J1077" s="18">
        <f>Quarts!Z72</f>
        <v>9.75</v>
      </c>
      <c r="K1077" s="18">
        <f>Quarts!AA72</f>
        <v>11.405849999999994</v>
      </c>
      <c r="L1077" s="18">
        <f>Quarts!AB72</f>
        <v>10.92</v>
      </c>
      <c r="M1077" s="18">
        <f>Quarts!AC72</f>
        <v>11.700000000000001</v>
      </c>
      <c r="N1077" s="18">
        <f>Quarts!AD72</f>
        <v>12.48</v>
      </c>
      <c r="O1077" s="18">
        <f>Quarts!AE72</f>
        <v>13.169812499999988</v>
      </c>
    </row>
    <row r="1078" spans="2:15" x14ac:dyDescent="0.55000000000000004">
      <c r="B1078" s="409" t="str">
        <f t="shared" si="95"/>
        <v>LatAm</v>
      </c>
      <c r="C1078" s="409"/>
      <c r="D1078" s="410">
        <f>Quarts!S73</f>
        <v>52.800000000000004</v>
      </c>
      <c r="E1078" s="410">
        <f>Quarts!T73</f>
        <v>61.600000000000009</v>
      </c>
      <c r="F1078" s="410">
        <f>Quarts!U73</f>
        <v>59.499999999999993</v>
      </c>
      <c r="G1078" s="410">
        <f>Quarts!V73</f>
        <v>54.9</v>
      </c>
      <c r="H1078" s="410">
        <f>Quarts!W73</f>
        <v>48.6</v>
      </c>
      <c r="I1078" s="419">
        <f>Quarts!Y73</f>
        <v>57.739999999999995</v>
      </c>
      <c r="J1078" s="410">
        <f>Quarts!Z73</f>
        <v>65.539999999999992</v>
      </c>
      <c r="K1078" s="410">
        <f>Quarts!AA73</f>
        <v>74.538750228136905</v>
      </c>
      <c r="L1078" s="410">
        <f>Quarts!AB73</f>
        <v>68.709999999999994</v>
      </c>
      <c r="M1078" s="410">
        <f>Quarts!AC73</f>
        <v>76.910000000000011</v>
      </c>
      <c r="N1078" s="410">
        <f>Quarts!AD73</f>
        <v>80.610000000000014</v>
      </c>
      <c r="O1078" s="410">
        <f>Quarts!AE73</f>
        <v>94.974878499999988</v>
      </c>
    </row>
    <row r="1079" spans="2:15" x14ac:dyDescent="0.55000000000000004">
      <c r="B1079" t="str">
        <f t="shared" si="95"/>
        <v>Nigeria</v>
      </c>
      <c r="D1079" s="9">
        <f>Quarts!S75</f>
        <v>2.4</v>
      </c>
      <c r="E1079" s="9">
        <f>Quarts!T75</f>
        <v>0.2</v>
      </c>
      <c r="F1079" s="9">
        <f>Quarts!U75</f>
        <v>1.7</v>
      </c>
      <c r="G1079" s="9">
        <f>Quarts!V75</f>
        <v>1.5</v>
      </c>
      <c r="H1079" s="9">
        <f>Quarts!W75</f>
        <v>0.5</v>
      </c>
      <c r="I1079" s="358">
        <f>Quarts!Y75</f>
        <v>0.72</v>
      </c>
      <c r="J1079" s="9">
        <f>Quarts!Z75</f>
        <v>1.08</v>
      </c>
      <c r="K1079" s="9">
        <f>Quarts!AA75</f>
        <v>1.5699999999999994</v>
      </c>
      <c r="L1079" s="9">
        <f>Quarts!AB75</f>
        <v>2.25</v>
      </c>
      <c r="M1079" s="9">
        <f>Quarts!AC75</f>
        <v>2.72</v>
      </c>
      <c r="N1079" s="9">
        <f>Quarts!AD75</f>
        <v>3.06</v>
      </c>
      <c r="O1079" s="9">
        <f>Quarts!AE75</f>
        <v>3.3005000000000018</v>
      </c>
    </row>
    <row r="1080" spans="2:15" x14ac:dyDescent="0.55000000000000004">
      <c r="B1080" s="226" t="str">
        <f t="shared" si="95"/>
        <v>Egypt</v>
      </c>
      <c r="C1080" s="226"/>
      <c r="D1080" s="228">
        <f>Quarts!S76</f>
        <v>2.7</v>
      </c>
      <c r="E1080" s="228">
        <f>Quarts!T76</f>
        <v>4.2</v>
      </c>
      <c r="F1080" s="228">
        <f>Quarts!U76</f>
        <v>9.6</v>
      </c>
      <c r="G1080" s="228">
        <f>Quarts!V76</f>
        <v>9.6</v>
      </c>
      <c r="H1080" s="228">
        <f>Quarts!W76</f>
        <v>10.3</v>
      </c>
      <c r="I1080" s="359">
        <f>Quarts!Y76</f>
        <v>2.6999999999999997</v>
      </c>
      <c r="J1080" s="228">
        <f>Quarts!Z76</f>
        <v>2.88</v>
      </c>
      <c r="K1080" s="228">
        <f>Quarts!AA76</f>
        <v>2.8199999999999994</v>
      </c>
      <c r="L1080" s="228">
        <f>Quarts!AB76</f>
        <v>4.8</v>
      </c>
      <c r="M1080" s="228">
        <f>Quarts!AC76</f>
        <v>5.0999999999999996</v>
      </c>
      <c r="N1080" s="228">
        <f>Quarts!AD76</f>
        <v>5.3999999999999995</v>
      </c>
      <c r="O1080" s="228">
        <f>Quarts!AE76</f>
        <v>5.7</v>
      </c>
    </row>
    <row r="1081" spans="2:15" x14ac:dyDescent="0.55000000000000004">
      <c r="B1081" s="14" t="str">
        <f t="shared" si="95"/>
        <v>Other</v>
      </c>
      <c r="C1081" s="14"/>
      <c r="D1081" s="18">
        <f>Quarts!S77</f>
        <v>3.9</v>
      </c>
      <c r="E1081" s="18">
        <f>Quarts!T77</f>
        <v>4.7</v>
      </c>
      <c r="F1081" s="18">
        <f>Quarts!U77</f>
        <v>3.7</v>
      </c>
      <c r="G1081" s="18">
        <f>Quarts!V77</f>
        <v>3.9</v>
      </c>
      <c r="H1081" s="18">
        <f>Quarts!W77</f>
        <v>3.6</v>
      </c>
      <c r="I1081" s="418">
        <f>Quarts!Y77</f>
        <v>4.2</v>
      </c>
      <c r="J1081" s="18">
        <f>Quarts!Z77</f>
        <v>4.8</v>
      </c>
      <c r="K1081" s="18">
        <f>Quarts!AA77</f>
        <v>5.9999999999999973</v>
      </c>
      <c r="L1081" s="18">
        <f>Quarts!AB77</f>
        <v>5.0999999999999996</v>
      </c>
      <c r="M1081" s="18">
        <f>Quarts!AC77</f>
        <v>5.3999999999999995</v>
      </c>
      <c r="N1081" s="18">
        <f>Quarts!AD77</f>
        <v>5.7</v>
      </c>
      <c r="O1081" s="18">
        <f>Quarts!AE77</f>
        <v>7.9800000000000066</v>
      </c>
    </row>
    <row r="1082" spans="2:15" ht="14.7" thickBot="1" x14ac:dyDescent="0.6">
      <c r="B1082" s="409" t="str">
        <f t="shared" si="95"/>
        <v>Africa / Asia</v>
      </c>
      <c r="C1082" s="409"/>
      <c r="D1082" s="410">
        <f>Quarts!S78</f>
        <v>9</v>
      </c>
      <c r="E1082" s="410">
        <f>Quarts!T78</f>
        <v>9.1000000000000014</v>
      </c>
      <c r="F1082" s="410">
        <f>Quarts!U78</f>
        <v>15</v>
      </c>
      <c r="G1082" s="410">
        <f>Quarts!V78</f>
        <v>15</v>
      </c>
      <c r="H1082" s="410">
        <f>Quarts!W78</f>
        <v>14.4</v>
      </c>
      <c r="I1082" s="419">
        <f>Quarts!Y78</f>
        <v>7.62</v>
      </c>
      <c r="J1082" s="410">
        <f>Quarts!Z78</f>
        <v>8.76</v>
      </c>
      <c r="K1082" s="410">
        <f>Quarts!AA78</f>
        <v>10.389999999999997</v>
      </c>
      <c r="L1082" s="410">
        <f>Quarts!AB78</f>
        <v>12.149999999999999</v>
      </c>
      <c r="M1082" s="410">
        <f>Quarts!AC78</f>
        <v>13.219999999999999</v>
      </c>
      <c r="N1082" s="410">
        <f>Quarts!AD78</f>
        <v>14.16</v>
      </c>
      <c r="O1082" s="410">
        <f>Quarts!AE78</f>
        <v>16.98050000000001</v>
      </c>
    </row>
    <row r="1083" spans="2:15" ht="14.7" thickBot="1" x14ac:dyDescent="0.6">
      <c r="B1083" s="289" t="s">
        <v>1736</v>
      </c>
      <c r="C1083" s="405"/>
      <c r="D1083" s="406">
        <f>Quarts!S79</f>
        <v>61.800000000000004</v>
      </c>
      <c r="E1083" s="406">
        <f>Quarts!T79</f>
        <v>70.700000000000017</v>
      </c>
      <c r="F1083" s="406">
        <f>Quarts!U79</f>
        <v>74.5</v>
      </c>
      <c r="G1083" s="406">
        <f>Quarts!V79</f>
        <v>69.900000000000006</v>
      </c>
      <c r="H1083" s="406">
        <f>Quarts!W79</f>
        <v>63</v>
      </c>
      <c r="I1083" s="420">
        <f>Quarts!Y79</f>
        <v>65.36</v>
      </c>
      <c r="J1083" s="406">
        <f>Quarts!Z79</f>
        <v>74.3</v>
      </c>
      <c r="K1083" s="406">
        <f>Quarts!AA79</f>
        <v>84.928750228136906</v>
      </c>
      <c r="L1083" s="406">
        <f>Quarts!AB79</f>
        <v>80.859999999999985</v>
      </c>
      <c r="M1083" s="406">
        <f>Quarts!AC79</f>
        <v>90.13000000000001</v>
      </c>
      <c r="N1083" s="406">
        <f>Quarts!AD79</f>
        <v>94.77000000000001</v>
      </c>
      <c r="O1083" s="407">
        <f>Quarts!AE79</f>
        <v>111.95537849999999</v>
      </c>
    </row>
    <row r="1084" spans="2:15" ht="14.7" thickBot="1" x14ac:dyDescent="0.6">
      <c r="B1084" s="226" t="s">
        <v>2118</v>
      </c>
      <c r="C1084" s="226"/>
      <c r="D1084" s="230">
        <f>Quarts!AW79</f>
        <v>0.41743119266055051</v>
      </c>
      <c r="E1084" s="230">
        <f>Quarts!AX79</f>
        <v>0.42540322580645196</v>
      </c>
      <c r="F1084" s="230">
        <f>Quarts!AY79</f>
        <v>0.38290763290763286</v>
      </c>
      <c r="G1084" s="230">
        <f>Quarts!AZ79</f>
        <v>0.2686025408348458</v>
      </c>
      <c r="H1084" s="230">
        <f>Quarts!BA79</f>
        <v>1.9417475728155331E-2</v>
      </c>
      <c r="I1084" s="230">
        <f>Quarts!BB79</f>
        <v>-7.553041018387574E-2</v>
      </c>
      <c r="J1084" s="230">
        <f>Quarts!BC79</f>
        <v>-2.6845637583893245E-3</v>
      </c>
      <c r="K1084" s="230">
        <f>Quarts!BD79</f>
        <v>0.21500357980167228</v>
      </c>
      <c r="L1084" s="230">
        <f>Quarts!BE79</f>
        <v>0.28349206349206324</v>
      </c>
      <c r="M1084" s="230">
        <f>Quarts!BF79</f>
        <v>0.37897796817625484</v>
      </c>
      <c r="N1084" s="230">
        <f>Quarts!BG79</f>
        <v>0.27550471063257076</v>
      </c>
      <c r="O1084" s="230">
        <f>Quarts!BH79</f>
        <v>0.31822708092682106</v>
      </c>
    </row>
    <row r="1085" spans="2:15" ht="14.7" thickBot="1" x14ac:dyDescent="0.6">
      <c r="B1085" s="10" t="s">
        <v>1106</v>
      </c>
      <c r="C1085" s="10"/>
      <c r="D1085" s="102">
        <f>Quarts!S95</f>
        <v>1.7291550083939566E-2</v>
      </c>
      <c r="E1085" s="102">
        <f>Quarts!T95</f>
        <v>1.6167390807226165E-2</v>
      </c>
      <c r="F1085" s="102">
        <f>Quarts!U95</f>
        <v>1.613252490255522E-2</v>
      </c>
      <c r="G1085" s="102">
        <f>Quarts!V95</f>
        <v>1.3676384269223246E-2</v>
      </c>
      <c r="H1085" s="102">
        <f>Quarts!W95</f>
        <v>1.1864406779661017E-2</v>
      </c>
      <c r="I1085" s="432">
        <f>Quarts!Y95</f>
        <v>1.1268965517241379E-2</v>
      </c>
      <c r="J1085" s="102">
        <f>Quarts!Z95</f>
        <v>1.0926470588235294E-2</v>
      </c>
      <c r="K1085" s="102">
        <f>Quarts!AA95</f>
        <v>1.066013777845265E-2</v>
      </c>
      <c r="L1085" s="102">
        <f>Quarts!AB95</f>
        <v>1.0781333333333332E-2</v>
      </c>
      <c r="M1085" s="102">
        <f>Quarts!AC95</f>
        <v>1.0242045454545455E-2</v>
      </c>
      <c r="N1085" s="102">
        <f>Quarts!AD95</f>
        <v>1.0190322580645162E-2</v>
      </c>
      <c r="O1085" s="102">
        <f>Quarts!AE95</f>
        <v>1.0951928945052918E-2</v>
      </c>
    </row>
    <row r="1086" spans="2:15" x14ac:dyDescent="0.55000000000000004">
      <c r="B1086" s="226"/>
      <c r="C1086" s="226"/>
      <c r="D1086" s="230"/>
      <c r="E1086" s="230"/>
      <c r="F1086" s="230"/>
      <c r="G1086" s="230"/>
      <c r="H1086" s="230"/>
      <c r="I1086" s="230"/>
      <c r="J1086" s="230"/>
      <c r="K1086" s="230"/>
      <c r="L1086" s="230"/>
      <c r="M1086" s="230"/>
      <c r="N1086" s="230"/>
      <c r="O1086" s="230"/>
    </row>
    <row r="1087" spans="2:15" ht="14.7" thickBot="1" x14ac:dyDescent="0.6">
      <c r="B1087" s="10" t="s">
        <v>2057</v>
      </c>
    </row>
    <row r="1088" spans="2:15" x14ac:dyDescent="0.55000000000000004">
      <c r="B1088" s="226" t="str">
        <f t="shared" ref="B1088:B1097" si="96">B1073</f>
        <v>Brazil</v>
      </c>
      <c r="C1088" s="226"/>
      <c r="D1088" s="230">
        <f>Quarts!S82</f>
        <v>0.48245614035087719</v>
      </c>
      <c r="E1088" s="230">
        <f>Quarts!T82</f>
        <v>0.47572815533980584</v>
      </c>
      <c r="F1088" s="230">
        <f>Quarts!U82</f>
        <v>0.50782997762863535</v>
      </c>
      <c r="G1088" s="230">
        <f>Quarts!V82</f>
        <v>0.50796812749003983</v>
      </c>
      <c r="H1088" s="230">
        <f>Quarts!W82</f>
        <v>0.41531322505800461</v>
      </c>
      <c r="I1088" s="421">
        <f>Quarts!Y82</f>
        <v>0.42</v>
      </c>
      <c r="J1088" s="230">
        <f>Quarts!Z82</f>
        <v>0.42</v>
      </c>
      <c r="K1088" s="230">
        <f>Quarts!AA82</f>
        <v>0.4227529919601194</v>
      </c>
      <c r="L1088" s="230">
        <f>Quarts!AB82</f>
        <v>0.41</v>
      </c>
      <c r="M1088" s="230">
        <f>Quarts!AC82</f>
        <v>0.44</v>
      </c>
      <c r="N1088" s="230">
        <f>Quarts!AD82</f>
        <v>0.44</v>
      </c>
      <c r="O1088" s="230">
        <f>Quarts!AE82</f>
        <v>0.46280741070643411</v>
      </c>
    </row>
    <row r="1089" spans="2:15" x14ac:dyDescent="0.55000000000000004">
      <c r="B1089" t="str">
        <f t="shared" si="96"/>
        <v>Argentina</v>
      </c>
      <c r="D1089" s="2">
        <f>Quarts!S83</f>
        <v>0.89</v>
      </c>
      <c r="E1089" s="2">
        <f>Quarts!T83</f>
        <v>0.66666666666666674</v>
      </c>
      <c r="F1089" s="2">
        <f>Quarts!U83</f>
        <v>0.54811715481171552</v>
      </c>
      <c r="G1089" s="2">
        <f>Quarts!V83</f>
        <v>0.38095238095238093</v>
      </c>
      <c r="H1089" s="2">
        <f>Quarts!W83</f>
        <v>0.37681159420289856</v>
      </c>
      <c r="I1089" s="422">
        <f>Quarts!Y83</f>
        <v>0.4</v>
      </c>
      <c r="J1089" s="2">
        <f>Quarts!Z83</f>
        <v>0.41</v>
      </c>
      <c r="K1089" s="2">
        <f>Quarts!AA83</f>
        <v>0.40872093023255818</v>
      </c>
      <c r="L1089" s="2">
        <f>Quarts!AB83</f>
        <v>0.39</v>
      </c>
      <c r="M1089" s="2">
        <f>Quarts!AC83</f>
        <v>0.39</v>
      </c>
      <c r="N1089" s="2">
        <f>Quarts!AD83</f>
        <v>0.39</v>
      </c>
      <c r="O1089" s="2">
        <f>Quarts!AE83</f>
        <v>0.39000000000000007</v>
      </c>
    </row>
    <row r="1090" spans="2:15" x14ac:dyDescent="0.55000000000000004">
      <c r="B1090" s="226" t="str">
        <f t="shared" si="96"/>
        <v>Mexico</v>
      </c>
      <c r="C1090" s="226"/>
      <c r="D1090" s="230">
        <f>Quarts!S84</f>
        <v>0.30396475770925113</v>
      </c>
      <c r="E1090" s="230">
        <f>Quarts!T84</f>
        <v>0.37455830388692579</v>
      </c>
      <c r="F1090" s="230">
        <f>Quarts!U84</f>
        <v>0.26158940397350994</v>
      </c>
      <c r="G1090" s="230">
        <f>Quarts!V84</f>
        <v>0.2612359550561798</v>
      </c>
      <c r="H1090" s="230">
        <f>Quarts!W84</f>
        <v>0.29117647058823531</v>
      </c>
      <c r="I1090" s="423">
        <f>Quarts!Y84</f>
        <v>0.34</v>
      </c>
      <c r="J1090" s="230">
        <f>Quarts!Z84</f>
        <v>0.34</v>
      </c>
      <c r="K1090" s="230">
        <f>Quarts!AA84</f>
        <v>0.3424030308497204</v>
      </c>
      <c r="L1090" s="230">
        <f>Quarts!AB84</f>
        <v>0.31</v>
      </c>
      <c r="M1090" s="230">
        <f>Quarts!AC84</f>
        <v>0.34</v>
      </c>
      <c r="N1090" s="230">
        <f>Quarts!AD84</f>
        <v>0.34</v>
      </c>
      <c r="O1090" s="230">
        <f>Quarts!AE84</f>
        <v>0.36223525226305459</v>
      </c>
    </row>
    <row r="1091" spans="2:15" x14ac:dyDescent="0.55000000000000004">
      <c r="B1091" t="str">
        <f t="shared" si="96"/>
        <v>Chile</v>
      </c>
      <c r="D1091" s="2">
        <f>Quarts!S85</f>
        <v>0.64084507042253525</v>
      </c>
      <c r="E1091" s="2">
        <f>Quarts!T85</f>
        <v>0.62676056338028174</v>
      </c>
      <c r="F1091" s="2">
        <f>Quarts!U85</f>
        <v>0.55645161290322587</v>
      </c>
      <c r="G1091" s="2">
        <f>Quarts!V85</f>
        <v>0.61073825503355705</v>
      </c>
      <c r="H1091" s="2">
        <f>Quarts!W85</f>
        <v>0.60483870967741937</v>
      </c>
      <c r="I1091" s="422">
        <f>Quarts!Y85</f>
        <v>0.6</v>
      </c>
      <c r="J1091" s="2">
        <f>Quarts!Z85</f>
        <v>0.6</v>
      </c>
      <c r="K1091" s="2">
        <f>Quarts!AA85</f>
        <v>0.59638554216867468</v>
      </c>
      <c r="L1091" s="2">
        <f>Quarts!AB85</f>
        <v>0.55000000000000004</v>
      </c>
      <c r="M1091" s="2">
        <f>Quarts!AC85</f>
        <v>0.55000000000000004</v>
      </c>
      <c r="N1091" s="2">
        <f>Quarts!AD85</f>
        <v>0.55000000000000004</v>
      </c>
      <c r="O1091" s="2">
        <f>Quarts!AE85</f>
        <v>0.54999999999999993</v>
      </c>
    </row>
    <row r="1092" spans="2:15" x14ac:dyDescent="0.55000000000000004">
      <c r="B1092" s="235" t="str">
        <f t="shared" si="96"/>
        <v>Other LatAm</v>
      </c>
      <c r="C1092" s="235"/>
      <c r="D1092" s="284">
        <f>Quarts!S86</f>
        <v>0.43243243243243246</v>
      </c>
      <c r="E1092" s="284">
        <f>Quarts!T86</f>
        <v>0.38666666666666666</v>
      </c>
      <c r="F1092" s="284">
        <f>Quarts!U86</f>
        <v>0.3588709677419355</v>
      </c>
      <c r="G1092" s="284">
        <f>Quarts!V86</f>
        <v>0.34482758620689652</v>
      </c>
      <c r="H1092" s="284">
        <f>Quarts!W86</f>
        <v>0.36651583710407237</v>
      </c>
      <c r="I1092" s="424">
        <f>Quarts!Y86</f>
        <v>0.39</v>
      </c>
      <c r="J1092" s="284">
        <f>Quarts!Z86</f>
        <v>0.39</v>
      </c>
      <c r="K1092" s="284">
        <f>Quarts!AA86</f>
        <v>0.4085921547555077</v>
      </c>
      <c r="L1092" s="284">
        <f>Quarts!AB86</f>
        <v>0.39</v>
      </c>
      <c r="M1092" s="284">
        <f>Quarts!AC86</f>
        <v>0.39</v>
      </c>
      <c r="N1092" s="284">
        <f>Quarts!AD86</f>
        <v>0.39</v>
      </c>
      <c r="O1092" s="284">
        <f>Quarts!AE86</f>
        <v>0.38999999999999985</v>
      </c>
    </row>
    <row r="1093" spans="2:15" x14ac:dyDescent="0.55000000000000004">
      <c r="B1093" s="56" t="str">
        <f t="shared" si="96"/>
        <v>LatAm</v>
      </c>
      <c r="C1093" s="56"/>
      <c r="D1093" s="322">
        <f>Quarts!S87</f>
        <v>0.53767820773930752</v>
      </c>
      <c r="E1093" s="322">
        <f>Quarts!T87</f>
        <v>0.48542159180457056</v>
      </c>
      <c r="F1093" s="322">
        <f>Quarts!U87</f>
        <v>0.43749999999999994</v>
      </c>
      <c r="G1093" s="322">
        <f>Quarts!V87</f>
        <v>0.41749049429657786</v>
      </c>
      <c r="H1093" s="322">
        <f>Quarts!W87</f>
        <v>0.38755980861244016</v>
      </c>
      <c r="I1093" s="425">
        <f>Quarts!Y87</f>
        <v>0.40950354609929074</v>
      </c>
      <c r="J1093" s="322">
        <f>Quarts!Z87</f>
        <v>0.4122012578616352</v>
      </c>
      <c r="K1093" s="322">
        <f>Quarts!AA87</f>
        <v>0.41541106307259379</v>
      </c>
      <c r="L1093" s="322">
        <f>Quarts!AB87</f>
        <v>0.39262857142857138</v>
      </c>
      <c r="M1093" s="322">
        <f>Quarts!AC87</f>
        <v>0.41128342245989313</v>
      </c>
      <c r="N1093" s="322">
        <f>Quarts!AD87</f>
        <v>0.40918781725888331</v>
      </c>
      <c r="O1093" s="322">
        <f>Quarts!AE87</f>
        <v>0.42612103288550363</v>
      </c>
    </row>
    <row r="1094" spans="2:15" x14ac:dyDescent="0.55000000000000004">
      <c r="B1094" s="226" t="str">
        <f t="shared" si="96"/>
        <v>Nigeria</v>
      </c>
      <c r="C1094" s="226"/>
      <c r="D1094" s="230">
        <f>Quarts!S89</f>
        <v>8.9219330855018583E-2</v>
      </c>
      <c r="E1094" s="230">
        <f>Quarts!T89</f>
        <v>9.8039215686274526E-3</v>
      </c>
      <c r="F1094" s="230">
        <f>Quarts!U89</f>
        <v>0.2048192771084337</v>
      </c>
      <c r="G1094" s="230">
        <f>Quarts!V89</f>
        <v>5.281690140845071E-2</v>
      </c>
      <c r="H1094" s="230">
        <f>Quarts!W89</f>
        <v>6.9444444444444448E-2</v>
      </c>
      <c r="I1094" s="423">
        <f>Quarts!Y89</f>
        <v>0.08</v>
      </c>
      <c r="J1094" s="230">
        <f>Quarts!Z89</f>
        <v>0.09</v>
      </c>
      <c r="K1094" s="230">
        <f>Quarts!AA89</f>
        <v>0.10608108108108107</v>
      </c>
      <c r="L1094" s="230">
        <f>Quarts!AB89</f>
        <v>0.15</v>
      </c>
      <c r="M1094" s="230">
        <f>Quarts!AC89</f>
        <v>0.17</v>
      </c>
      <c r="N1094" s="230">
        <f>Quarts!AD89</f>
        <v>0.18</v>
      </c>
      <c r="O1094" s="230">
        <f>Quarts!AE89</f>
        <v>0.17697050938337805</v>
      </c>
    </row>
    <row r="1095" spans="2:15" x14ac:dyDescent="0.55000000000000004">
      <c r="B1095" t="str">
        <f t="shared" si="96"/>
        <v>Egypt</v>
      </c>
      <c r="D1095" s="2">
        <f>Quarts!S90</f>
        <v>0.77142857142857146</v>
      </c>
      <c r="E1095" s="2">
        <f>Quarts!T90</f>
        <v>0.8936170212765957</v>
      </c>
      <c r="F1095" s="2">
        <f>Quarts!U90</f>
        <v>0.95049504950495045</v>
      </c>
      <c r="G1095" s="2">
        <f>Quarts!V90</f>
        <v>0.52173913043478259</v>
      </c>
      <c r="H1095" s="2">
        <f>Quarts!W90</f>
        <v>0.26410256410256411</v>
      </c>
      <c r="I1095" s="422">
        <f>Quarts!Y90</f>
        <v>0.18</v>
      </c>
      <c r="J1095" s="2">
        <f>Quarts!Z90</f>
        <v>0.18</v>
      </c>
      <c r="K1095" s="2">
        <f>Quarts!AA90</f>
        <v>0.18799999999999997</v>
      </c>
      <c r="L1095" s="2">
        <f>Quarts!AB90</f>
        <v>0.3</v>
      </c>
      <c r="M1095" s="2">
        <f>Quarts!AC90</f>
        <v>0.3</v>
      </c>
      <c r="N1095" s="2">
        <f>Quarts!AD90</f>
        <v>0.3</v>
      </c>
      <c r="O1095" s="2">
        <f>Quarts!AE90</f>
        <v>0.3</v>
      </c>
    </row>
    <row r="1096" spans="2:15" x14ac:dyDescent="0.55000000000000004">
      <c r="B1096" s="235" t="str">
        <f t="shared" si="96"/>
        <v>Other</v>
      </c>
      <c r="C1096" s="235"/>
      <c r="D1096" s="284">
        <f>Quarts!S91</f>
        <v>0.44827586206896497</v>
      </c>
      <c r="E1096" s="284">
        <f>Quarts!T91</f>
        <v>0.51648351648351698</v>
      </c>
      <c r="F1096" s="284">
        <f>Quarts!U91</f>
        <v>0.38947368421052614</v>
      </c>
      <c r="G1096" s="284">
        <f ca="1">Quarts!V91</f>
        <v>0.40206185567010294</v>
      </c>
      <c r="H1096" s="284">
        <f ca="1">Quarts!W91</f>
        <v>0.28125000000000006</v>
      </c>
      <c r="I1096" s="424">
        <f>Quarts!Y91</f>
        <v>0.3</v>
      </c>
      <c r="J1096" s="284">
        <f>Quarts!Z91</f>
        <v>0.3</v>
      </c>
      <c r="K1096" s="284">
        <f ca="1">Quarts!AA91</f>
        <v>0.31249999999999983</v>
      </c>
      <c r="L1096" s="284">
        <f>Quarts!AB91</f>
        <v>0.3</v>
      </c>
      <c r="M1096" s="284">
        <f>Quarts!AC91</f>
        <v>0.3</v>
      </c>
      <c r="N1096" s="284">
        <f>Quarts!AD91</f>
        <v>0.3</v>
      </c>
      <c r="O1096" s="284">
        <f>Quarts!AE91</f>
        <v>0.30000000000000016</v>
      </c>
    </row>
    <row r="1097" spans="2:15" ht="14.7" thickBot="1" x14ac:dyDescent="0.6">
      <c r="B1097" s="56" t="str">
        <f t="shared" si="96"/>
        <v>Africa / Asia</v>
      </c>
      <c r="C1097" s="56"/>
      <c r="D1097" s="322">
        <f>Quarts!S92</f>
        <v>0.23017902813299226</v>
      </c>
      <c r="E1097" s="322">
        <f>Quarts!T92</f>
        <v>0.26608187134502936</v>
      </c>
      <c r="F1097" s="322">
        <f>Quarts!U92</f>
        <v>0.53763440860215039</v>
      </c>
      <c r="G1097" s="322">
        <f ca="1">Quarts!V92</f>
        <v>0.26548672566371684</v>
      </c>
      <c r="H1097" s="322">
        <f ca="1">Quarts!W92</f>
        <v>0.2440677966101695</v>
      </c>
      <c r="I1097" s="425">
        <f>Quarts!Y92</f>
        <v>0.20052631578947369</v>
      </c>
      <c r="J1097" s="322">
        <f>Quarts!Z92</f>
        <v>0.1990909090909091</v>
      </c>
      <c r="K1097" s="322">
        <f ca="1">Quarts!AA92</f>
        <v>0.21204081632653055</v>
      </c>
      <c r="L1097" s="322">
        <f>Quarts!AB92</f>
        <v>0.25312499999999999</v>
      </c>
      <c r="M1097" s="322">
        <f>Quarts!AC92</f>
        <v>0.2592156862745098</v>
      </c>
      <c r="N1097" s="322">
        <f>Quarts!AD92</f>
        <v>0.26222222222222225</v>
      </c>
      <c r="O1097" s="322">
        <f>Quarts!AE92</f>
        <v>0.26428793774319076</v>
      </c>
    </row>
    <row r="1098" spans="2:15" ht="14.7" thickBot="1" x14ac:dyDescent="0.6">
      <c r="B1098" s="292" t="s">
        <v>610</v>
      </c>
      <c r="C1098" s="402"/>
      <c r="D1098" s="293">
        <f>Quarts!S93</f>
        <v>0.45010924981791695</v>
      </c>
      <c r="E1098" s="293">
        <f>Quarts!T93</f>
        <v>0.43885785226567364</v>
      </c>
      <c r="F1098" s="293">
        <f>Quarts!U93</f>
        <v>0.45454545454545453</v>
      </c>
      <c r="G1098" s="293">
        <f>Quarts!V93</f>
        <v>0.3718085106382979</v>
      </c>
      <c r="H1098" s="293">
        <f>Quarts!W93</f>
        <v>0.34164859002169196</v>
      </c>
      <c r="I1098" s="269">
        <f>Quarts!Y93</f>
        <v>0.36513966480446924</v>
      </c>
      <c r="J1098" s="293">
        <f>Quarts!Z93</f>
        <v>0.36600985221674875</v>
      </c>
      <c r="K1098" s="293">
        <f>Quarts!AA93</f>
        <v>0.37178728320270349</v>
      </c>
      <c r="L1098" s="293">
        <f>Quarts!AB93</f>
        <v>0.36260089686098645</v>
      </c>
      <c r="M1098" s="293">
        <f>Quarts!AC93</f>
        <v>0.37869747899159667</v>
      </c>
      <c r="N1098" s="293">
        <f>Quarts!AD93</f>
        <v>0.37756972111553788</v>
      </c>
      <c r="O1098" s="408">
        <f>Quarts!AE93</f>
        <v>0.38990855263982749</v>
      </c>
    </row>
  </sheetData>
  <sortState xmlns:xlrd2="http://schemas.microsoft.com/office/spreadsheetml/2017/richdata2" ref="B794:C797">
    <sortCondition descending="1" ref="C794:C797"/>
  </sortState>
  <mergeCells count="2">
    <mergeCell ref="C440:G440"/>
    <mergeCell ref="I440:M440"/>
  </mergeCells>
  <phoneticPr fontId="31" type="noConversion"/>
  <hyperlinks>
    <hyperlink ref="B776" r:id="rId1" display="https://www.checkout.com/blog/revisiting-the-durbin-amendment" xr:uid="{60FBCD7D-0664-4C60-8AA9-98C1033CF778}"/>
  </hyperlinks>
  <pageMargins left="0.7" right="0.7" top="0.75" bottom="0.75" header="0.3" footer="0.3"/>
  <pageSetup paperSize="9" orientation="portrait" horizontalDpi="300" verticalDpi="300"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23F8-0BE2-4D50-ADEC-D18401F4A5D8}">
  <dimension ref="B3:N47"/>
  <sheetViews>
    <sheetView showGridLines="0" zoomScale="82" zoomScaleNormal="70" workbookViewId="0">
      <selection activeCell="C2" sqref="C2"/>
    </sheetView>
  </sheetViews>
  <sheetFormatPr defaultRowHeight="14.4" x14ac:dyDescent="0.55000000000000004"/>
  <cols>
    <col min="2" max="2" width="23.7890625" customWidth="1"/>
    <col min="3" max="6" width="9.41796875" customWidth="1"/>
    <col min="7" max="7" width="12" customWidth="1"/>
    <col min="8" max="8" width="2" customWidth="1"/>
    <col min="9" max="9" width="23.7890625" customWidth="1"/>
    <col min="10" max="13" width="9.41796875" customWidth="1"/>
    <col min="14" max="14" width="12" customWidth="1"/>
  </cols>
  <sheetData>
    <row r="3" spans="2:14" x14ac:dyDescent="0.55000000000000004">
      <c r="B3" s="170" t="s">
        <v>325</v>
      </c>
      <c r="C3" s="171">
        <v>2023</v>
      </c>
      <c r="D3" s="171" t="s">
        <v>1740</v>
      </c>
      <c r="E3" s="171" t="s">
        <v>1741</v>
      </c>
      <c r="F3" s="171" t="s">
        <v>2125</v>
      </c>
      <c r="G3" s="171" t="s">
        <v>2126</v>
      </c>
      <c r="H3" s="172"/>
      <c r="I3" s="173" t="str">
        <f t="shared" ref="I3:N3" si="0">B3</f>
        <v>USD m</v>
      </c>
      <c r="J3" s="171">
        <f t="shared" si="0"/>
        <v>2023</v>
      </c>
      <c r="K3" s="171" t="str">
        <f t="shared" si="0"/>
        <v>2024e</v>
      </c>
      <c r="L3" s="171" t="str">
        <f t="shared" si="0"/>
        <v>2025e</v>
      </c>
      <c r="M3" s="171" t="str">
        <f t="shared" si="0"/>
        <v>2026e</v>
      </c>
      <c r="N3" s="171" t="str">
        <f t="shared" si="0"/>
        <v>24-26e CAGR</v>
      </c>
    </row>
    <row r="4" spans="2:14" x14ac:dyDescent="0.55000000000000004">
      <c r="B4" s="188" t="s">
        <v>306</v>
      </c>
      <c r="C4" s="338">
        <f>Valuation!C2</f>
        <v>8.3000000000000007</v>
      </c>
      <c r="D4" s="188"/>
      <c r="E4" s="188"/>
      <c r="F4" s="189"/>
      <c r="G4" s="188"/>
      <c r="H4" s="175"/>
      <c r="I4" s="188" t="s">
        <v>187</v>
      </c>
      <c r="J4" s="428">
        <f>Valuation!H12</f>
        <v>3.3213796125461257</v>
      </c>
      <c r="K4" s="428">
        <f>Valuation!I12</f>
        <v>2.5799531733938448</v>
      </c>
      <c r="L4" s="428">
        <f>Valuation!J12</f>
        <v>1.8503053699842302</v>
      </c>
      <c r="M4" s="428">
        <f>Valuation!K12</f>
        <v>1.2687587123672077</v>
      </c>
      <c r="N4" s="188"/>
    </row>
    <row r="5" spans="2:14" x14ac:dyDescent="0.55000000000000004">
      <c r="B5" s="175" t="s">
        <v>175</v>
      </c>
      <c r="C5" s="176">
        <f>Valuation!H5</f>
        <v>295.99099999999999</v>
      </c>
      <c r="D5" s="176">
        <f>Valuation!I5</f>
        <v>275.99099999999999</v>
      </c>
      <c r="E5" s="176">
        <f>Valuation!J5</f>
        <v>275.99099999999999</v>
      </c>
      <c r="F5" s="176">
        <f>Valuation!K5</f>
        <v>275.99099999999999</v>
      </c>
      <c r="G5" s="175"/>
      <c r="H5" s="175"/>
      <c r="I5" s="175" t="s">
        <v>188</v>
      </c>
      <c r="J5" s="427">
        <f>Valuation!H13</f>
        <v>7.3233437747899854</v>
      </c>
      <c r="K5" s="427">
        <f>Valuation!I13</f>
        <v>5.8148050204639237</v>
      </c>
      <c r="L5" s="427">
        <f>Valuation!J13</f>
        <v>4.0797571772733683</v>
      </c>
      <c r="M5" s="427">
        <f>Valuation!K13</f>
        <v>2.7974990220410745</v>
      </c>
      <c r="N5" s="175"/>
    </row>
    <row r="6" spans="2:14" x14ac:dyDescent="0.55000000000000004">
      <c r="B6" s="188" t="s">
        <v>307</v>
      </c>
      <c r="C6" s="189">
        <f>$C$4*C5</f>
        <v>2456.7253000000001</v>
      </c>
      <c r="D6" s="189">
        <f t="shared" ref="D6:F6" si="1">$C$4*D5</f>
        <v>2290.7253000000001</v>
      </c>
      <c r="E6" s="189">
        <f t="shared" si="1"/>
        <v>2290.7253000000001</v>
      </c>
      <c r="F6" s="189">
        <f t="shared" si="1"/>
        <v>2290.7253000000001</v>
      </c>
      <c r="G6" s="188"/>
      <c r="H6" s="175"/>
      <c r="I6" s="188" t="s">
        <v>586</v>
      </c>
      <c r="J6" s="428">
        <f>Valuation!H14</f>
        <v>7.8012383174195055</v>
      </c>
      <c r="K6" s="428">
        <f>Valuation!I14</f>
        <v>7.1304380413577233</v>
      </c>
      <c r="L6" s="428">
        <f>Valuation!J14</f>
        <v>4.8944262009846433</v>
      </c>
      <c r="M6" s="428">
        <f>Valuation!K14</f>
        <v>3.3527712780599295</v>
      </c>
      <c r="N6" s="188"/>
    </row>
    <row r="7" spans="2:14" x14ac:dyDescent="0.55000000000000004">
      <c r="B7" s="175" t="s">
        <v>309</v>
      </c>
      <c r="C7" s="176">
        <f>Master!H309</f>
        <v>296.5</v>
      </c>
      <c r="D7" s="176">
        <f>Master!I309</f>
        <v>240.09153510676811</v>
      </c>
      <c r="E7" s="176">
        <f>Master!J309</f>
        <v>442.02525495476812</v>
      </c>
      <c r="F7" s="176">
        <f>Master!K309</f>
        <v>695.71079358594443</v>
      </c>
      <c r="G7" s="175"/>
      <c r="H7" s="175"/>
      <c r="I7" s="175" t="s">
        <v>179</v>
      </c>
      <c r="J7" s="187">
        <f>Valuation!H15</f>
        <v>10.678325753830944</v>
      </c>
      <c r="K7" s="187">
        <f>Valuation!I15</f>
        <v>10.48280213209058</v>
      </c>
      <c r="L7" s="187">
        <f>Valuation!J15</f>
        <v>6.7304283269628069</v>
      </c>
      <c r="M7" s="187">
        <f>Valuation!K15</f>
        <v>4.6330547771503481</v>
      </c>
      <c r="N7" s="175"/>
    </row>
    <row r="8" spans="2:14" x14ac:dyDescent="0.55000000000000004">
      <c r="B8" s="188" t="s">
        <v>311</v>
      </c>
      <c r="C8" s="189">
        <v>0</v>
      </c>
      <c r="D8" s="189">
        <v>0</v>
      </c>
      <c r="E8" s="189">
        <v>0</v>
      </c>
      <c r="F8" s="189">
        <v>0</v>
      </c>
      <c r="G8" s="188"/>
      <c r="H8" s="175"/>
      <c r="I8" s="188" t="s">
        <v>308</v>
      </c>
      <c r="J8" s="190">
        <f>C16/C6</f>
        <v>5.522758283150337E-2</v>
      </c>
      <c r="K8" s="190">
        <f t="shared" ref="K8:M8" si="2">D16/D6</f>
        <v>6.7926084371618012E-2</v>
      </c>
      <c r="L8" s="190">
        <f t="shared" si="2"/>
        <v>6.7049303164708612E-2</v>
      </c>
      <c r="M8" s="190">
        <f t="shared" si="2"/>
        <v>9.2518173107879825E-2</v>
      </c>
      <c r="N8" s="188"/>
    </row>
    <row r="9" spans="2:14" x14ac:dyDescent="0.55000000000000004">
      <c r="B9" s="177" t="s">
        <v>177</v>
      </c>
      <c r="C9" s="178">
        <f>Master!H277</f>
        <v>0</v>
      </c>
      <c r="D9" s="178">
        <f>Master!I277</f>
        <v>0</v>
      </c>
      <c r="E9" s="178">
        <f>Master!J277</f>
        <v>0</v>
      </c>
      <c r="F9" s="178">
        <f>Master!K277</f>
        <v>0</v>
      </c>
      <c r="G9" s="175"/>
      <c r="H9" s="175"/>
      <c r="I9" s="175" t="s">
        <v>310</v>
      </c>
      <c r="J9" s="427">
        <f>Valuation!H16</f>
        <v>16.454958472873411</v>
      </c>
      <c r="K9" s="427">
        <f>Valuation!I16</f>
        <v>17.541146890777917</v>
      </c>
      <c r="L9" s="427">
        <f>Valuation!J16</f>
        <v>11.721238800456893</v>
      </c>
      <c r="M9" s="427">
        <f>Valuation!K16</f>
        <v>9.2672302460945044</v>
      </c>
      <c r="N9" s="175"/>
    </row>
    <row r="10" spans="2:14" x14ac:dyDescent="0.55000000000000004">
      <c r="B10" s="188" t="s">
        <v>178</v>
      </c>
      <c r="C10" s="189">
        <f>C6-C7-C8-C9</f>
        <v>2160.2253000000001</v>
      </c>
      <c r="D10" s="189">
        <f t="shared" ref="D10:F10" si="3">D6-D7-D8-D9</f>
        <v>2050.6337648932322</v>
      </c>
      <c r="E10" s="189">
        <f t="shared" si="3"/>
        <v>1848.7000450452319</v>
      </c>
      <c r="F10" s="189">
        <f t="shared" si="3"/>
        <v>1595.0145064140556</v>
      </c>
      <c r="G10" s="188"/>
      <c r="H10" s="175"/>
      <c r="I10" s="188" t="s">
        <v>312</v>
      </c>
      <c r="J10" s="190">
        <f>Master!H277/Summary!C6</f>
        <v>0</v>
      </c>
      <c r="K10" s="190">
        <f>Master!I277/Summary!D6</f>
        <v>0</v>
      </c>
      <c r="L10" s="190">
        <f>Master!J277/Summary!E6</f>
        <v>0</v>
      </c>
      <c r="M10" s="190">
        <f>Master!K277/Summary!F6</f>
        <v>0</v>
      </c>
      <c r="N10" s="188"/>
    </row>
    <row r="11" spans="2:14" x14ac:dyDescent="0.55000000000000004">
      <c r="B11" s="179" t="s">
        <v>314</v>
      </c>
      <c r="C11" s="175"/>
      <c r="D11" s="175"/>
      <c r="E11" s="175"/>
      <c r="F11" s="175"/>
      <c r="G11" s="175"/>
      <c r="H11" s="175"/>
      <c r="I11" s="179" t="s">
        <v>313</v>
      </c>
      <c r="J11" s="175"/>
      <c r="K11" s="175"/>
      <c r="L11" s="175"/>
      <c r="M11" s="175"/>
      <c r="N11" s="175"/>
    </row>
    <row r="12" spans="2:14" x14ac:dyDescent="0.55000000000000004">
      <c r="B12" s="188" t="s">
        <v>3</v>
      </c>
      <c r="C12" s="189">
        <f>Master!G223</f>
        <v>153.07499999999999</v>
      </c>
      <c r="D12" s="189">
        <f>Master!H223</f>
        <v>202.3</v>
      </c>
      <c r="E12" s="189">
        <f>Master!I223</f>
        <v>195.61885639486695</v>
      </c>
      <c r="F12" s="189">
        <f>Master!J223</f>
        <v>274.67791873499999</v>
      </c>
      <c r="G12" s="188"/>
      <c r="H12" s="175"/>
      <c r="I12" s="188" t="s">
        <v>186</v>
      </c>
      <c r="J12" s="190">
        <f>Valuation!H31</f>
        <v>0.32813186813186812</v>
      </c>
      <c r="K12" s="190">
        <f>Valuation!I31</f>
        <v>0.22300789420215569</v>
      </c>
      <c r="L12" s="190">
        <f>Valuation!J31</f>
        <v>0.25022714516359429</v>
      </c>
      <c r="M12" s="190">
        <f>Valuation!K31</f>
        <v>0.24040356332878263</v>
      </c>
      <c r="N12" s="188"/>
    </row>
    <row r="13" spans="2:14" x14ac:dyDescent="0.55000000000000004">
      <c r="B13" s="175" t="s">
        <v>315</v>
      </c>
      <c r="C13" s="176">
        <f>-Master!G267</f>
        <v>-12.4</v>
      </c>
      <c r="D13" s="176">
        <f>-Master!H267</f>
        <v>-18.3</v>
      </c>
      <c r="E13" s="176">
        <f>-Master!I267</f>
        <v>-14.379437511406847</v>
      </c>
      <c r="F13" s="176">
        <f>-Master!J267</f>
        <v>-18.885768925000004</v>
      </c>
      <c r="G13" s="175"/>
      <c r="H13" s="175"/>
      <c r="I13" s="175"/>
      <c r="J13" s="175"/>
      <c r="K13" s="175"/>
      <c r="L13" s="175"/>
      <c r="M13" s="175"/>
      <c r="N13" s="175"/>
    </row>
    <row r="14" spans="2:14" x14ac:dyDescent="0.55000000000000004">
      <c r="B14" s="188" t="s">
        <v>316</v>
      </c>
      <c r="C14" s="189">
        <f>Master!G270</f>
        <v>6.59</v>
      </c>
      <c r="D14" s="189">
        <f>Master!H270</f>
        <v>1</v>
      </c>
      <c r="E14" s="189">
        <f>Master!I270</f>
        <v>5</v>
      </c>
      <c r="F14" s="189">
        <f>Master!J270</f>
        <v>5</v>
      </c>
      <c r="G14" s="188"/>
      <c r="H14" s="175"/>
      <c r="I14" s="188"/>
      <c r="J14" s="188"/>
      <c r="K14" s="188"/>
      <c r="L14" s="188"/>
      <c r="M14" s="188"/>
      <c r="N14" s="188"/>
    </row>
    <row r="15" spans="2:14" x14ac:dyDescent="0.55000000000000004">
      <c r="B15" s="177" t="s">
        <v>317</v>
      </c>
      <c r="C15" s="178">
        <f>-Master!G271</f>
        <v>-11.586</v>
      </c>
      <c r="D15" s="178">
        <f>-Master!H271</f>
        <v>-29.4</v>
      </c>
      <c r="E15" s="178">
        <f>-Master!I271</f>
        <v>-32.647883776692019</v>
      </c>
      <c r="F15" s="178">
        <f>-Master!J271</f>
        <v>-48.858429962000002</v>
      </c>
      <c r="G15" s="175"/>
      <c r="H15" s="175"/>
      <c r="I15" s="175"/>
      <c r="J15" s="175"/>
      <c r="K15" s="175"/>
      <c r="L15" s="175"/>
      <c r="M15" s="175"/>
      <c r="N15" s="175"/>
    </row>
    <row r="16" spans="2:14" x14ac:dyDescent="0.55000000000000004">
      <c r="B16" s="188" t="s">
        <v>65</v>
      </c>
      <c r="C16" s="189">
        <f>SUM(C12:C15)</f>
        <v>135.67899999999997</v>
      </c>
      <c r="D16" s="189">
        <f>SUM(D12:D15)</f>
        <v>155.6</v>
      </c>
      <c r="E16" s="189">
        <f>SUM(E12:E15)</f>
        <v>153.59153510676808</v>
      </c>
      <c r="F16" s="189">
        <f>SUM(F12:F15)</f>
        <v>211.93371984799995</v>
      </c>
      <c r="G16" s="188"/>
      <c r="H16" s="175"/>
      <c r="I16" s="188"/>
      <c r="J16" s="188"/>
      <c r="K16" s="188"/>
      <c r="L16" s="188"/>
      <c r="M16" s="188"/>
      <c r="N16" s="188"/>
    </row>
    <row r="17" spans="2:14" x14ac:dyDescent="0.55000000000000004">
      <c r="B17" s="180" t="s">
        <v>319</v>
      </c>
      <c r="C17" s="175"/>
      <c r="D17" s="175"/>
      <c r="E17" s="175"/>
      <c r="F17" s="175"/>
      <c r="G17" s="175"/>
      <c r="H17" s="175"/>
      <c r="I17" s="180" t="s">
        <v>318</v>
      </c>
      <c r="J17" s="176"/>
      <c r="K17" s="176"/>
      <c r="L17" s="176"/>
      <c r="M17" s="176"/>
      <c r="N17" s="181"/>
    </row>
    <row r="18" spans="2:14" x14ac:dyDescent="0.55000000000000004">
      <c r="B18" s="188" t="s">
        <v>130</v>
      </c>
      <c r="C18" s="189">
        <f>Master!H98</f>
        <v>650.4</v>
      </c>
      <c r="D18" s="189">
        <f>Master!I98</f>
        <v>794.83371482889743</v>
      </c>
      <c r="E18" s="189">
        <f>Master!J98</f>
        <v>999.13239999999996</v>
      </c>
      <c r="F18" s="189">
        <f>Master!K98</f>
        <v>1257.1456580882355</v>
      </c>
      <c r="G18" s="190">
        <f>(F18/D18)^(1/2)-1</f>
        <v>0.25763512840783798</v>
      </c>
      <c r="H18" s="181"/>
      <c r="I18" s="194" t="s">
        <v>0</v>
      </c>
      <c r="J18" s="189">
        <f>Master!H43*1000</f>
        <v>17677</v>
      </c>
      <c r="K18" s="189">
        <f>Master!I43*1000</f>
        <v>25876.946768718459</v>
      </c>
      <c r="L18" s="189">
        <f>Master!J43*1000</f>
        <v>35822.434701840466</v>
      </c>
      <c r="M18" s="189">
        <f>Master!K43*1000</f>
        <v>46513.970674718657</v>
      </c>
      <c r="N18" s="190">
        <f>(M18/K18)^(1/2)-1</f>
        <v>0.3407110572288472</v>
      </c>
    </row>
    <row r="19" spans="2:14" x14ac:dyDescent="0.55000000000000004">
      <c r="B19" s="175" t="s">
        <v>105</v>
      </c>
      <c r="C19" s="176">
        <f>Master!H195</f>
        <v>276.90799999999996</v>
      </c>
      <c r="D19" s="176">
        <f>Master!I195</f>
        <v>287.58875022813692</v>
      </c>
      <c r="E19" s="176">
        <f>Master!J195</f>
        <v>377.71537850000004</v>
      </c>
      <c r="F19" s="176">
        <f>Master!K195</f>
        <v>475.73018680147061</v>
      </c>
      <c r="G19" s="181">
        <f>(F19/D19)^(1/2)-1</f>
        <v>0.28615825100240255</v>
      </c>
      <c r="H19" s="181"/>
      <c r="I19" s="182" t="s">
        <v>326</v>
      </c>
      <c r="J19" s="176">
        <f>Master!H48*1000</f>
        <v>12792</v>
      </c>
      <c r="K19" s="176">
        <f>Master!I48*1000</f>
        <v>18596.524813333333</v>
      </c>
      <c r="L19" s="176">
        <f>Master!J48*1000</f>
        <v>25564.759457130669</v>
      </c>
      <c r="M19" s="176">
        <f>Master!K48*1000</f>
        <v>32962.227808833282</v>
      </c>
      <c r="N19" s="181">
        <f>(M19/K19)^(1/2)-1</f>
        <v>0.3313504251826167</v>
      </c>
    </row>
    <row r="20" spans="2:14" x14ac:dyDescent="0.55000000000000004">
      <c r="B20" s="226" t="s">
        <v>1141</v>
      </c>
      <c r="C20" s="190">
        <f>Master!H197</f>
        <v>0.42575030750307497</v>
      </c>
      <c r="D20" s="190">
        <f>Master!I197</f>
        <v>0.36182253578667795</v>
      </c>
      <c r="E20" s="190">
        <f>Master!J197</f>
        <v>0.37804336892688101</v>
      </c>
      <c r="F20" s="190">
        <f>Master!K197</f>
        <v>0.37842089637005333</v>
      </c>
      <c r="G20" s="226"/>
      <c r="H20" s="181"/>
      <c r="I20" s="194" t="s">
        <v>327</v>
      </c>
      <c r="J20" s="189">
        <f>Master!H72*1000</f>
        <v>4885</v>
      </c>
      <c r="K20" s="189">
        <f>Master!I72*1000</f>
        <v>7280.4219553851262</v>
      </c>
      <c r="L20" s="189">
        <f>Master!J72*1000</f>
        <v>10257.675244709795</v>
      </c>
      <c r="M20" s="189">
        <f>Master!K72*1000</f>
        <v>13551.742865885373</v>
      </c>
      <c r="N20" s="190">
        <f>(M20/K20)^(1/2)-1</f>
        <v>0.36432959828838452</v>
      </c>
    </row>
    <row r="21" spans="2:14" x14ac:dyDescent="0.55000000000000004">
      <c r="B21" s="175" t="s">
        <v>320</v>
      </c>
      <c r="C21" s="176">
        <f>Master!H223</f>
        <v>202.3</v>
      </c>
      <c r="D21" s="176">
        <f>Master!I223</f>
        <v>195.61885639486695</v>
      </c>
      <c r="E21" s="176">
        <f>Master!J223</f>
        <v>274.67791873499999</v>
      </c>
      <c r="F21" s="176">
        <f>Master!K223</f>
        <v>344.26843262904413</v>
      </c>
      <c r="G21" s="181">
        <f>(F21/D21)^(1/2)-1</f>
        <v>0.32660992862769955</v>
      </c>
      <c r="H21" s="175"/>
      <c r="I21" s="176"/>
      <c r="J21" s="176"/>
      <c r="K21" s="176"/>
      <c r="L21" s="176"/>
      <c r="M21" s="176"/>
      <c r="N21" s="175"/>
    </row>
    <row r="22" spans="2:14" x14ac:dyDescent="0.55000000000000004">
      <c r="B22" s="188" t="s">
        <v>106</v>
      </c>
      <c r="C22" s="190">
        <f>C21/C18</f>
        <v>0.31103936039360397</v>
      </c>
      <c r="D22" s="190">
        <f>D21/D18</f>
        <v>0.24611293248547905</v>
      </c>
      <c r="E22" s="190">
        <f>E21/E18</f>
        <v>0.27491643623507755</v>
      </c>
      <c r="F22" s="190">
        <f>F21/F18</f>
        <v>0.27384927944831744</v>
      </c>
      <c r="G22" s="190"/>
      <c r="H22" s="181"/>
      <c r="I22" s="194" t="s">
        <v>23</v>
      </c>
      <c r="J22" s="189">
        <f>Master!H67</f>
        <v>630</v>
      </c>
      <c r="K22" s="189">
        <f>Master!I67</f>
        <v>640</v>
      </c>
      <c r="L22" s="189">
        <f>Master!J67</f>
        <v>650</v>
      </c>
      <c r="M22" s="189">
        <f>Master!K67</f>
        <v>660</v>
      </c>
      <c r="N22" s="190">
        <f>(M22/K22)^(1/2)-1</f>
        <v>1.5504800579495104E-2</v>
      </c>
    </row>
    <row r="23" spans="2:14" x14ac:dyDescent="0.55000000000000004">
      <c r="B23" s="175" t="s">
        <v>321</v>
      </c>
      <c r="C23" s="176">
        <f>Master!H210</f>
        <v>179.7</v>
      </c>
      <c r="D23" s="176">
        <f>Master!I210</f>
        <v>168.2394188834601</v>
      </c>
      <c r="E23" s="176">
        <f>Master!J210</f>
        <v>249.29214981000001</v>
      </c>
      <c r="F23" s="176">
        <f>Master!K210</f>
        <v>313.98192328897062</v>
      </c>
      <c r="G23" s="181">
        <f>(F23/D23)^(1/2)-1</f>
        <v>0.36611872115529898</v>
      </c>
      <c r="H23" s="175"/>
      <c r="I23" s="182"/>
      <c r="J23" s="176"/>
      <c r="K23" s="176"/>
      <c r="L23" s="176"/>
      <c r="M23" s="176"/>
      <c r="N23" s="181"/>
    </row>
    <row r="24" spans="2:14" x14ac:dyDescent="0.55000000000000004">
      <c r="B24" s="188" t="s">
        <v>109</v>
      </c>
      <c r="C24" s="189">
        <f>Master!H230</f>
        <v>178.7</v>
      </c>
      <c r="D24" s="189">
        <f>Master!I230</f>
        <v>163.2394188834601</v>
      </c>
      <c r="E24" s="189">
        <f>Master!J230</f>
        <v>244.29214981000001</v>
      </c>
      <c r="F24" s="189">
        <f>Master!K230</f>
        <v>308.98192328897062</v>
      </c>
      <c r="G24" s="190">
        <f>(F24/D24)^(1/2)-1</f>
        <v>0.37579591638631316</v>
      </c>
      <c r="H24" s="181"/>
      <c r="I24" s="188" t="s">
        <v>219</v>
      </c>
      <c r="J24" s="195">
        <f>Master!H178</f>
        <v>1.4621532585342565</v>
      </c>
      <c r="K24" s="195">
        <f>Master!I178</f>
        <v>1.22</v>
      </c>
      <c r="L24" s="195">
        <f>Master!J178</f>
        <v>1.25</v>
      </c>
      <c r="M24" s="195">
        <f>Master!K178</f>
        <v>1.25</v>
      </c>
      <c r="N24" s="190">
        <f>(M24/K24)^(1/2)-1</f>
        <v>1.2220412723644936E-2</v>
      </c>
    </row>
    <row r="25" spans="2:14" x14ac:dyDescent="0.55000000000000004">
      <c r="B25" s="175" t="s">
        <v>110</v>
      </c>
      <c r="C25" s="176">
        <f>Master!H234</f>
        <v>149.29999999999998</v>
      </c>
      <c r="D25" s="176">
        <f>Master!I234</f>
        <v>130.59153510676808</v>
      </c>
      <c r="E25" s="176">
        <f>Master!J234</f>
        <v>195.43371984800001</v>
      </c>
      <c r="F25" s="176">
        <f>Master!K234</f>
        <v>247.18553863117648</v>
      </c>
      <c r="G25" s="181">
        <f>(F25/D25)^(1/2)-1</f>
        <v>0.37579591638631316</v>
      </c>
      <c r="H25" s="181"/>
      <c r="I25" s="179"/>
      <c r="J25" s="176"/>
      <c r="K25" s="176"/>
      <c r="L25" s="176"/>
      <c r="M25" s="176"/>
      <c r="N25" s="175"/>
    </row>
    <row r="26" spans="2:14" x14ac:dyDescent="0.55000000000000004">
      <c r="B26" s="188" t="s">
        <v>323</v>
      </c>
      <c r="C26" s="191">
        <f>Master!H234/Summary!C5</f>
        <v>0.50440722859816678</v>
      </c>
      <c r="D26" s="191">
        <f>Master!I234/Summary!D5</f>
        <v>0.47317316545383031</v>
      </c>
      <c r="E26" s="191">
        <f>Master!J234/Summary!E5</f>
        <v>0.70811627860328785</v>
      </c>
      <c r="F26" s="191">
        <f>Master!K234/Summary!F5</f>
        <v>0.89562898294211224</v>
      </c>
      <c r="G26" s="190">
        <f>(F26/D26)^(1/2)-1</f>
        <v>0.37579591638631316</v>
      </c>
      <c r="H26" s="175"/>
      <c r="I26" s="188"/>
      <c r="J26" s="189"/>
      <c r="K26" s="189"/>
      <c r="L26" s="189"/>
      <c r="M26" s="189"/>
      <c r="N26" s="190"/>
    </row>
    <row r="27" spans="2:14" x14ac:dyDescent="0.55000000000000004">
      <c r="B27" s="175" t="s">
        <v>324</v>
      </c>
      <c r="C27" s="433">
        <f>Master!H277/Summary!C5</f>
        <v>0</v>
      </c>
      <c r="D27" s="433">
        <f>Master!I277/Summary!D5</f>
        <v>0</v>
      </c>
      <c r="E27" s="433">
        <f>Master!J277/Summary!E5</f>
        <v>0</v>
      </c>
      <c r="F27" s="433">
        <f>Master!K277/Summary!F5</f>
        <v>0</v>
      </c>
      <c r="G27" s="175"/>
      <c r="H27" s="175"/>
      <c r="I27" s="175"/>
      <c r="J27" s="176"/>
      <c r="K27" s="176"/>
      <c r="L27" s="176"/>
      <c r="M27" s="176"/>
      <c r="N27" s="181"/>
    </row>
    <row r="28" spans="2:14" x14ac:dyDescent="0.55000000000000004">
      <c r="B28" s="192" t="s">
        <v>322</v>
      </c>
      <c r="C28" s="193">
        <f>-Master!H309/Master!H223</f>
        <v>-1.4656450815620365</v>
      </c>
      <c r="D28" s="193">
        <f>-Master!I309/Master!I223</f>
        <v>-1.2273435165275208</v>
      </c>
      <c r="E28" s="193">
        <f>-Master!J309/Master!J223</f>
        <v>-1.6092493236823278</v>
      </c>
      <c r="F28" s="193">
        <f>-Master!K309/Master!K223</f>
        <v>-2.0208381822087831</v>
      </c>
      <c r="G28" s="192"/>
      <c r="H28" s="175"/>
      <c r="I28" s="192"/>
      <c r="J28" s="196"/>
      <c r="K28" s="196"/>
      <c r="L28" s="196"/>
      <c r="M28" s="196"/>
      <c r="N28" s="197"/>
    </row>
    <row r="29" spans="2:14" x14ac:dyDescent="0.55000000000000004">
      <c r="B29" s="175"/>
      <c r="C29" s="175"/>
      <c r="D29" s="175"/>
      <c r="E29" s="175"/>
      <c r="F29" s="175"/>
      <c r="G29" s="175"/>
      <c r="H29" s="175"/>
      <c r="I29" s="175"/>
      <c r="J29" s="175"/>
      <c r="K29" s="175"/>
      <c r="L29" s="175"/>
      <c r="M29" s="175"/>
      <c r="N29" s="175"/>
    </row>
    <row r="30" spans="2:14" x14ac:dyDescent="0.55000000000000004">
      <c r="B30" s="175"/>
      <c r="C30" s="175"/>
      <c r="D30" s="175"/>
      <c r="E30" s="175"/>
      <c r="F30" s="175"/>
      <c r="G30" s="175"/>
      <c r="H30" s="175"/>
      <c r="I30" s="175"/>
      <c r="J30" s="175"/>
      <c r="K30" s="175"/>
      <c r="L30" s="175"/>
      <c r="M30" s="175"/>
      <c r="N30" s="175"/>
    </row>
    <row r="31" spans="2:14" x14ac:dyDescent="0.55000000000000004">
      <c r="B31" s="175"/>
      <c r="C31" s="175"/>
      <c r="D31" s="175"/>
      <c r="E31" s="175"/>
      <c r="F31" s="175"/>
      <c r="G31" s="175"/>
      <c r="H31" s="175"/>
      <c r="I31" s="175"/>
      <c r="J31" s="175"/>
      <c r="K31" s="175"/>
      <c r="L31" s="175"/>
      <c r="M31" s="175"/>
      <c r="N31" s="175"/>
    </row>
    <row r="32" spans="2:14" x14ac:dyDescent="0.55000000000000004">
      <c r="B32" s="183" t="s">
        <v>611</v>
      </c>
      <c r="C32" s="184">
        <v>2019</v>
      </c>
      <c r="D32" s="184">
        <v>2020</v>
      </c>
      <c r="E32" s="184">
        <v>2021</v>
      </c>
      <c r="F32" s="184">
        <v>2022</v>
      </c>
      <c r="G32" s="184">
        <v>2023</v>
      </c>
      <c r="H32" s="184">
        <v>2024</v>
      </c>
      <c r="I32" s="184">
        <v>2025</v>
      </c>
      <c r="J32" s="184">
        <v>2026</v>
      </c>
      <c r="K32" s="184">
        <v>2027</v>
      </c>
      <c r="L32" s="184">
        <v>2028</v>
      </c>
      <c r="M32" s="184">
        <v>2029</v>
      </c>
      <c r="N32" s="184">
        <v>2030</v>
      </c>
    </row>
    <row r="33" spans="2:14" x14ac:dyDescent="0.55000000000000004">
      <c r="B33" s="185" t="s">
        <v>130</v>
      </c>
      <c r="C33" s="174">
        <f>Master!D98</f>
        <v>55</v>
      </c>
      <c r="D33" s="174">
        <f>Master!E98</f>
        <v>104</v>
      </c>
      <c r="E33" s="174">
        <f>Master!F98</f>
        <v>244.1</v>
      </c>
      <c r="F33" s="174">
        <f>Master!G98</f>
        <v>418.9</v>
      </c>
      <c r="G33" s="174">
        <f>Master!H98</f>
        <v>650.4</v>
      </c>
      <c r="H33" s="174">
        <f>Master!I98</f>
        <v>794.83371482889743</v>
      </c>
      <c r="I33" s="174">
        <f>Master!J98</f>
        <v>999.13239999999996</v>
      </c>
      <c r="J33" s="174">
        <f>Master!K98</f>
        <v>1257.1456580882355</v>
      </c>
      <c r="K33" s="174">
        <f>Master!L98</f>
        <v>1539.6776221056807</v>
      </c>
      <c r="L33" s="174">
        <f>Master!M98</f>
        <v>1797.4499993440272</v>
      </c>
      <c r="M33" s="174">
        <f>Master!N98</f>
        <v>2046.652028845428</v>
      </c>
      <c r="N33" s="174">
        <f>Master!O98</f>
        <v>2340.1876535483857</v>
      </c>
    </row>
    <row r="34" spans="2:14" x14ac:dyDescent="0.55000000000000004">
      <c r="B34" s="186" t="s">
        <v>612</v>
      </c>
      <c r="C34" s="176">
        <f>Master!D191</f>
        <v>36.653999999999996</v>
      </c>
      <c r="D34" s="176">
        <f>Master!E191</f>
        <v>62.344999999999999</v>
      </c>
      <c r="E34" s="176">
        <f>Master!F191</f>
        <v>136.82400000000001</v>
      </c>
      <c r="F34" s="176">
        <f>Master!G191</f>
        <v>212.67699999999996</v>
      </c>
      <c r="G34" s="176">
        <f>Master!H191</f>
        <v>294.97799999999995</v>
      </c>
      <c r="H34" s="176">
        <f>Master!I191</f>
        <v>352.65735612397646</v>
      </c>
      <c r="I34" s="176">
        <f>Master!J191</f>
        <v>453.13972491881907</v>
      </c>
      <c r="J34" s="176">
        <f>Master!K191</f>
        <v>570.15730616782207</v>
      </c>
      <c r="K34" s="176">
        <f>Master!L191</f>
        <v>698.29493483008832</v>
      </c>
      <c r="L34" s="176">
        <f>Master!M191</f>
        <v>815.20326861393357</v>
      </c>
      <c r="M34" s="176">
        <f>Master!N191</f>
        <v>928.22466507497938</v>
      </c>
      <c r="N34" s="176">
        <f>Master!O191</f>
        <v>1061.3528192933513</v>
      </c>
    </row>
    <row r="35" spans="2:14" x14ac:dyDescent="0.55000000000000004">
      <c r="B35" s="185" t="s">
        <v>105</v>
      </c>
      <c r="C35" s="174">
        <f>Master!D195</f>
        <v>35.587000000000003</v>
      </c>
      <c r="D35" s="174">
        <f>Master!E195</f>
        <v>59.935000000000002</v>
      </c>
      <c r="E35" s="174">
        <f>Master!F195</f>
        <v>130.423</v>
      </c>
      <c r="F35" s="174">
        <f>Master!G195</f>
        <v>202.09999999999997</v>
      </c>
      <c r="G35" s="174">
        <f>Master!H195</f>
        <v>276.90799999999996</v>
      </c>
      <c r="H35" s="174">
        <f>Master!I195</f>
        <v>287.58875022813692</v>
      </c>
      <c r="I35" s="174">
        <f>Master!J195</f>
        <v>377.71537850000004</v>
      </c>
      <c r="J35" s="174">
        <f>Master!K195</f>
        <v>475.73018680147061</v>
      </c>
      <c r="K35" s="174">
        <f>Master!L195</f>
        <v>576.31439949549463</v>
      </c>
      <c r="L35" s="174">
        <f>Master!M195</f>
        <v>670.26082327276958</v>
      </c>
      <c r="M35" s="174">
        <f>Master!N195</f>
        <v>760.7974994790884</v>
      </c>
      <c r="N35" s="174">
        <f>Master!O195</f>
        <v>867.06459217619204</v>
      </c>
    </row>
    <row r="36" spans="2:14" x14ac:dyDescent="0.55000000000000004">
      <c r="B36" s="186" t="s">
        <v>3</v>
      </c>
      <c r="C36" s="176">
        <f>Master!D223</f>
        <v>20.07</v>
      </c>
      <c r="D36" s="176">
        <f>Master!E223</f>
        <v>41.930999999999997</v>
      </c>
      <c r="E36" s="176">
        <f>Master!F223</f>
        <v>99.2</v>
      </c>
      <c r="F36" s="176">
        <f>Master!G223</f>
        <v>153.07499999999999</v>
      </c>
      <c r="G36" s="176">
        <f>Master!H223</f>
        <v>202.3</v>
      </c>
      <c r="H36" s="176">
        <f>Master!I223</f>
        <v>195.61885639486695</v>
      </c>
      <c r="I36" s="176">
        <f>Master!J223</f>
        <v>274.67791873499999</v>
      </c>
      <c r="J36" s="176">
        <f>Master!K223</f>
        <v>344.26843262904413</v>
      </c>
      <c r="K36" s="176">
        <f>Master!L223</f>
        <v>415.68322364180119</v>
      </c>
      <c r="L36" s="176">
        <f>Master!M223</f>
        <v>482.3851845236664</v>
      </c>
      <c r="M36" s="176">
        <f>Master!N223</f>
        <v>546.66622463015278</v>
      </c>
      <c r="N36" s="176">
        <f>Master!O223</f>
        <v>622.11586044509625</v>
      </c>
    </row>
    <row r="37" spans="2:14" x14ac:dyDescent="0.55000000000000004">
      <c r="B37" s="185" t="s">
        <v>110</v>
      </c>
      <c r="C37" s="174">
        <f>Master!D234</f>
        <v>15.629000000000001</v>
      </c>
      <c r="D37" s="174">
        <f>Master!E234</f>
        <v>28.186999999999998</v>
      </c>
      <c r="E37" s="174">
        <f>Master!F234</f>
        <v>77.852999999999994</v>
      </c>
      <c r="F37" s="174">
        <f>Master!G234</f>
        <v>109.724</v>
      </c>
      <c r="G37" s="174">
        <f>Master!H234</f>
        <v>149.29999999999998</v>
      </c>
      <c r="H37" s="174">
        <f>Master!I234</f>
        <v>130.59153510676808</v>
      </c>
      <c r="I37" s="174">
        <f>Master!J234</f>
        <v>195.43371984800001</v>
      </c>
      <c r="J37" s="174">
        <f>Master!K234</f>
        <v>247.18553863117648</v>
      </c>
      <c r="K37" s="174">
        <f>Master!L234</f>
        <v>300.29400293362113</v>
      </c>
      <c r="L37" s="174">
        <f>Master!M234</f>
        <v>349.89771468802235</v>
      </c>
      <c r="M37" s="174">
        <f>Master!N234</f>
        <v>397.70107972495867</v>
      </c>
      <c r="N37" s="174">
        <f>Master!O234</f>
        <v>453.81010466902933</v>
      </c>
    </row>
    <row r="38" spans="2:14" x14ac:dyDescent="0.55000000000000004">
      <c r="B38" s="186" t="s">
        <v>613</v>
      </c>
      <c r="C38" s="176"/>
      <c r="D38" s="176"/>
      <c r="E38" s="176"/>
      <c r="F38" s="176"/>
      <c r="G38" s="176"/>
      <c r="H38" s="176"/>
      <c r="I38" s="176"/>
      <c r="J38" s="176"/>
      <c r="K38" s="176"/>
      <c r="L38" s="176"/>
      <c r="M38" s="176"/>
      <c r="N38" s="176"/>
    </row>
    <row r="39" spans="2:14" x14ac:dyDescent="0.55000000000000004">
      <c r="B39" s="185" t="s">
        <v>614</v>
      </c>
      <c r="C39" s="174">
        <f>Master!D67</f>
        <v>205</v>
      </c>
      <c r="D39" s="174">
        <f>Master!E67</f>
        <v>330</v>
      </c>
      <c r="E39" s="174">
        <f>Master!F67</f>
        <v>430</v>
      </c>
      <c r="F39" s="174">
        <f>Master!G67</f>
        <v>610</v>
      </c>
      <c r="G39" s="174">
        <f>Master!H67</f>
        <v>630</v>
      </c>
      <c r="H39" s="174">
        <f>Master!I67</f>
        <v>640</v>
      </c>
      <c r="I39" s="174">
        <f>Master!J67</f>
        <v>650</v>
      </c>
      <c r="J39" s="174">
        <f>Master!K67</f>
        <v>660</v>
      </c>
      <c r="K39" s="174">
        <f>Master!L67</f>
        <v>670</v>
      </c>
      <c r="L39" s="174">
        <f>Master!M67</f>
        <v>680</v>
      </c>
      <c r="M39" s="174">
        <f>Master!N67</f>
        <v>690</v>
      </c>
      <c r="N39" s="174">
        <f>Master!O67</f>
        <v>700</v>
      </c>
    </row>
    <row r="40" spans="2:14" x14ac:dyDescent="0.55000000000000004">
      <c r="B40" s="186" t="s">
        <v>615</v>
      </c>
      <c r="C40" s="176"/>
      <c r="D40" s="176"/>
      <c r="E40" s="176"/>
      <c r="F40" s="176"/>
      <c r="G40" s="176"/>
      <c r="H40" s="176"/>
      <c r="I40" s="176"/>
      <c r="J40" s="176"/>
      <c r="K40" s="176"/>
      <c r="L40" s="176"/>
      <c r="M40" s="176"/>
      <c r="N40" s="176"/>
    </row>
    <row r="41" spans="2:14" x14ac:dyDescent="0.55000000000000004">
      <c r="B41" s="185" t="s">
        <v>616</v>
      </c>
      <c r="C41" s="174"/>
      <c r="D41" s="174"/>
      <c r="E41" s="174"/>
      <c r="F41" s="174"/>
      <c r="G41" s="174"/>
      <c r="H41" s="174"/>
      <c r="I41" s="174"/>
      <c r="J41" s="174"/>
      <c r="K41" s="174"/>
      <c r="L41" s="174"/>
      <c r="M41" s="174"/>
      <c r="N41" s="174"/>
    </row>
    <row r="42" spans="2:14" x14ac:dyDescent="0.55000000000000004">
      <c r="B42" s="186" t="s">
        <v>232</v>
      </c>
      <c r="C42" s="187">
        <f>Master!D43</f>
        <v>1.2869999999999999</v>
      </c>
      <c r="D42" s="187">
        <f>Master!E43</f>
        <v>2.0640000000000001</v>
      </c>
      <c r="E42" s="187">
        <f>Master!F43</f>
        <v>6.0490000000000004</v>
      </c>
      <c r="F42" s="187">
        <f>Master!G43</f>
        <v>10.567</v>
      </c>
      <c r="G42" s="187">
        <f>Master!H43</f>
        <v>17.677</v>
      </c>
      <c r="H42" s="187">
        <f>Master!I43</f>
        <v>25.876946768718458</v>
      </c>
      <c r="I42" s="187">
        <f>Master!J43</f>
        <v>35.822434701840464</v>
      </c>
      <c r="J42" s="187">
        <f>Master!K43</f>
        <v>46.513970674718657</v>
      </c>
      <c r="K42" s="187">
        <f>Master!L43</f>
        <v>59.341870867405746</v>
      </c>
      <c r="L42" s="187">
        <f>Master!M43</f>
        <v>71.415566005184544</v>
      </c>
      <c r="M42" s="187">
        <f>Master!N43</f>
        <v>84.611317718695403</v>
      </c>
      <c r="N42" s="187">
        <f>Master!O43</f>
        <v>99.686169259855035</v>
      </c>
    </row>
    <row r="43" spans="2:14" x14ac:dyDescent="0.55000000000000004">
      <c r="B43" s="185" t="s">
        <v>617</v>
      </c>
      <c r="C43" s="174">
        <f>Master!D304</f>
        <v>24.363</v>
      </c>
      <c r="D43" s="174">
        <f>Master!E304</f>
        <v>45</v>
      </c>
      <c r="E43" s="174">
        <f>Master!F304</f>
        <v>280.31900000000002</v>
      </c>
      <c r="F43" s="174">
        <f>Master!G304</f>
        <v>400</v>
      </c>
      <c r="G43" s="174">
        <f>Master!H304</f>
        <v>455</v>
      </c>
      <c r="H43" s="174">
        <f>Master!I304</f>
        <v>585.59153510676811</v>
      </c>
      <c r="I43" s="174">
        <f>Master!J304</f>
        <v>781.02525495476812</v>
      </c>
      <c r="J43" s="174">
        <f>Master!K304</f>
        <v>1028.2107935859447</v>
      </c>
      <c r="K43" s="174">
        <f>Master!L304</f>
        <v>1328.5047965195658</v>
      </c>
      <c r="L43" s="174">
        <f>Master!M304</f>
        <v>1678.4025112075883</v>
      </c>
      <c r="M43" s="174">
        <f>Master!N304</f>
        <v>2076.1035909325469</v>
      </c>
      <c r="N43" s="174">
        <f>Master!O304</f>
        <v>2529.9136956015764</v>
      </c>
    </row>
    <row r="44" spans="2:14" x14ac:dyDescent="0.55000000000000004">
      <c r="B44" s="186" t="s">
        <v>618</v>
      </c>
      <c r="C44" s="176">
        <f>AVERAGE(Master!C294:D294)</f>
        <v>79.595999999999989</v>
      </c>
      <c r="D44" s="176">
        <f>AVERAGE(Master!D294:E294)</f>
        <v>140.03149999999999</v>
      </c>
      <c r="E44" s="176">
        <f>AVERAGE(Master!E294:F294)</f>
        <v>391.73649999999998</v>
      </c>
      <c r="F44" s="176">
        <f>AVERAGE(Master!F294:G294)</f>
        <v>704.25299999999993</v>
      </c>
      <c r="G44" s="176">
        <f>AVERAGE(Master!G294:H294)</f>
        <v>954.95</v>
      </c>
      <c r="H44" s="176">
        <f>AVERAGE(Master!H294:I294)</f>
        <v>1152.1126249678327</v>
      </c>
      <c r="I44" s="176">
        <f>AVERAGE(Master!I294:J294)</f>
        <v>1422.9414524452168</v>
      </c>
      <c r="J44" s="176">
        <f>AVERAGE(Master!J294:K294)</f>
        <v>1881.9070533144741</v>
      </c>
      <c r="K44" s="176">
        <f>AVERAGE(Master!K294:L294)</f>
        <v>2432.4194351497131</v>
      </c>
      <c r="L44" s="176">
        <f>AVERAGE(Master!L294:M294)</f>
        <v>3034.1674645884309</v>
      </c>
      <c r="M44" s="176">
        <f>AVERAGE(Master!M294:N294)</f>
        <v>3667.9540651647953</v>
      </c>
      <c r="N44" s="176">
        <f>AVERAGE(Master!N294:O294)</f>
        <v>4371.5784844639684</v>
      </c>
    </row>
    <row r="45" spans="2:14" x14ac:dyDescent="0.55000000000000004">
      <c r="B45" s="185" t="s">
        <v>619</v>
      </c>
      <c r="C45" s="174">
        <f>Valuation!D5</f>
        <v>0</v>
      </c>
      <c r="D45" s="174">
        <f>Valuation!E5</f>
        <v>178.10476500000001</v>
      </c>
      <c r="E45" s="174">
        <f>Valuation!F5</f>
        <v>292.91576500000002</v>
      </c>
      <c r="F45" s="174">
        <f>Valuation!G5</f>
        <v>296.16399999999999</v>
      </c>
      <c r="G45" s="174">
        <f>Valuation!H5</f>
        <v>295.99099999999999</v>
      </c>
      <c r="H45" s="174">
        <f>Valuation!I5</f>
        <v>275.99099999999999</v>
      </c>
      <c r="I45" s="174">
        <f>Valuation!J5</f>
        <v>275.99099999999999</v>
      </c>
      <c r="J45" s="174">
        <f>Valuation!K5</f>
        <v>275.99099999999999</v>
      </c>
      <c r="K45" s="174">
        <f>Valuation!L5</f>
        <v>275.99099999999999</v>
      </c>
      <c r="L45" s="174">
        <f>Valuation!M5</f>
        <v>275.99099999999999</v>
      </c>
      <c r="M45" s="174">
        <f>Valuation!N5</f>
        <v>275.99099999999999</v>
      </c>
      <c r="N45" s="174">
        <f>Valuation!O5</f>
        <v>275.99099999999999</v>
      </c>
    </row>
    <row r="46" spans="2:14" x14ac:dyDescent="0.55000000000000004">
      <c r="B46" s="186" t="s">
        <v>620</v>
      </c>
      <c r="C46" s="176">
        <f>Valuation!D7</f>
        <v>0</v>
      </c>
      <c r="D46" s="176">
        <f>Valuation!E7</f>
        <v>-41.668000000000006</v>
      </c>
      <c r="E46" s="176">
        <f>Valuation!F7</f>
        <v>-250.00299999999999</v>
      </c>
      <c r="F46" s="176">
        <f>Valuation!G7</f>
        <v>-300</v>
      </c>
      <c r="G46" s="176">
        <f>Valuation!H7</f>
        <v>-296.5</v>
      </c>
      <c r="H46" s="176">
        <f>Valuation!I7</f>
        <v>-240.09153510676811</v>
      </c>
      <c r="I46" s="176">
        <f>Valuation!J7</f>
        <v>-442.02525495476812</v>
      </c>
      <c r="J46" s="176">
        <f>Valuation!K7</f>
        <v>-695.71079358594443</v>
      </c>
      <c r="K46" s="176">
        <f>Valuation!L7</f>
        <v>-1002.5047965195654</v>
      </c>
      <c r="L46" s="176">
        <f>Valuation!M7</f>
        <v>-1358.9025112075883</v>
      </c>
      <c r="M46" s="176">
        <f>Valuation!N7</f>
        <v>-1763.1035909325469</v>
      </c>
      <c r="N46" s="176">
        <f>Valuation!O7</f>
        <v>-2223.4136956015759</v>
      </c>
    </row>
    <row r="47" spans="2:14" x14ac:dyDescent="0.55000000000000004">
      <c r="B47" s="185" t="s">
        <v>621</v>
      </c>
      <c r="C47" s="174">
        <f>Valuation!D8</f>
        <v>0</v>
      </c>
      <c r="D47" s="174">
        <f>Valuation!E8</f>
        <v>0</v>
      </c>
      <c r="E47" s="174">
        <f>Valuation!F8</f>
        <v>0</v>
      </c>
      <c r="F47" s="174">
        <f>Valuation!G8</f>
        <v>0</v>
      </c>
      <c r="G47" s="174">
        <f>Valuation!H8</f>
        <v>0</v>
      </c>
      <c r="H47" s="174">
        <f>Valuation!I8</f>
        <v>0</v>
      </c>
      <c r="I47" s="174">
        <f>Valuation!J8</f>
        <v>0</v>
      </c>
      <c r="J47" s="174">
        <f>Valuation!K8</f>
        <v>0</v>
      </c>
      <c r="K47" s="174">
        <f>Valuation!L8</f>
        <v>0</v>
      </c>
      <c r="L47" s="174">
        <f>Valuation!M8</f>
        <v>0</v>
      </c>
      <c r="M47" s="174">
        <f>Valuation!N8</f>
        <v>0</v>
      </c>
      <c r="N47" s="174">
        <f>Valuation!O8</f>
        <v>0</v>
      </c>
    </row>
  </sheetData>
  <pageMargins left="0.7" right="0.7" top="0.75" bottom="0.75" header="0.3" footer="0.3"/>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F086-8B3B-4067-A506-0D64B1526939}">
  <dimension ref="A1:J84"/>
  <sheetViews>
    <sheetView topLeftCell="A41" zoomScale="70" zoomScaleNormal="70" workbookViewId="0">
      <selection activeCell="G37" sqref="G37"/>
    </sheetView>
  </sheetViews>
  <sheetFormatPr defaultRowHeight="14.4" x14ac:dyDescent="0.55000000000000004"/>
  <cols>
    <col min="2" max="2" width="21.41796875" bestFit="1" customWidth="1"/>
  </cols>
  <sheetData>
    <row r="1" spans="1:7" x14ac:dyDescent="0.55000000000000004">
      <c r="B1" s="22" t="s">
        <v>590</v>
      </c>
    </row>
    <row r="2" spans="1:7" x14ac:dyDescent="0.55000000000000004">
      <c r="B2" s="14" t="s">
        <v>0</v>
      </c>
      <c r="C2" s="14">
        <v>2020</v>
      </c>
      <c r="D2" s="14">
        <f>C2+1</f>
        <v>2021</v>
      </c>
      <c r="E2" s="14">
        <f>D2+1</f>
        <v>2022</v>
      </c>
      <c r="F2" s="14">
        <f>E2+1</f>
        <v>2023</v>
      </c>
      <c r="G2" s="14">
        <f>F2+1</f>
        <v>2024</v>
      </c>
    </row>
    <row r="3" spans="1:7" x14ac:dyDescent="0.55000000000000004">
      <c r="A3" t="s">
        <v>223</v>
      </c>
      <c r="B3" s="39">
        <v>1</v>
      </c>
      <c r="C3">
        <v>2065</v>
      </c>
      <c r="D3">
        <v>5458</v>
      </c>
      <c r="E3">
        <v>10326</v>
      </c>
      <c r="F3">
        <v>17088</v>
      </c>
      <c r="G3">
        <v>26091</v>
      </c>
    </row>
    <row r="4" spans="1:7" x14ac:dyDescent="0.55000000000000004">
      <c r="A4" t="s">
        <v>224</v>
      </c>
      <c r="B4" s="39">
        <v>2</v>
      </c>
      <c r="C4">
        <v>2065</v>
      </c>
      <c r="D4">
        <v>4421</v>
      </c>
      <c r="E4">
        <v>7095</v>
      </c>
      <c r="F4">
        <v>11101</v>
      </c>
      <c r="G4">
        <v>16285</v>
      </c>
    </row>
    <row r="5" spans="1:7" x14ac:dyDescent="0.55000000000000004">
      <c r="A5" t="s">
        <v>227</v>
      </c>
      <c r="B5" s="39">
        <v>3</v>
      </c>
      <c r="C5">
        <v>2065</v>
      </c>
      <c r="D5">
        <v>4685</v>
      </c>
      <c r="E5">
        <v>7743</v>
      </c>
      <c r="F5">
        <v>11615</v>
      </c>
      <c r="G5">
        <v>16841</v>
      </c>
    </row>
    <row r="6" spans="1:7" x14ac:dyDescent="0.55000000000000004">
      <c r="A6" t="s">
        <v>228</v>
      </c>
      <c r="B6" s="40">
        <v>4</v>
      </c>
      <c r="C6" s="14">
        <v>2065</v>
      </c>
      <c r="D6" s="14">
        <v>4128</v>
      </c>
      <c r="E6" s="14">
        <v>6398</v>
      </c>
      <c r="F6" s="14">
        <v>8957</v>
      </c>
      <c r="G6" s="42">
        <v>12000</v>
      </c>
    </row>
    <row r="7" spans="1:7" x14ac:dyDescent="0.55000000000000004">
      <c r="B7" s="39" t="s">
        <v>222</v>
      </c>
      <c r="C7" s="9">
        <f>AVERAGE(C4:C6)</f>
        <v>2065</v>
      </c>
      <c r="D7" s="9">
        <f>AVERAGE(D4:D6)</f>
        <v>4411.333333333333</v>
      </c>
      <c r="E7" s="9">
        <f>AVERAGE(E4:E6)</f>
        <v>7078.666666666667</v>
      </c>
      <c r="F7" s="9">
        <f>AVERAGE(F4:F6)</f>
        <v>10557.666666666666</v>
      </c>
      <c r="G7" s="9">
        <f>AVERAGE(G4:G6)</f>
        <v>15042</v>
      </c>
    </row>
    <row r="8" spans="1:7" x14ac:dyDescent="0.55000000000000004">
      <c r="B8" s="39" t="s">
        <v>229</v>
      </c>
      <c r="C8" s="9">
        <f>Master!E43*1000</f>
        <v>2064</v>
      </c>
      <c r="D8" s="9">
        <f>Master!F43*1000</f>
        <v>6049</v>
      </c>
      <c r="E8" s="9">
        <f>Master!G43*1000</f>
        <v>10567</v>
      </c>
      <c r="F8" s="9">
        <f>Master!H43*1000</f>
        <v>17677</v>
      </c>
      <c r="G8" s="9">
        <f>Master!I43*1000</f>
        <v>25876.946768718459</v>
      </c>
    </row>
    <row r="9" spans="1:7" x14ac:dyDescent="0.55000000000000004">
      <c r="B9" s="39" t="s">
        <v>231</v>
      </c>
      <c r="C9" s="3">
        <f>C8/AVERAGE(C4:C6)-1</f>
        <v>-4.842615012106144E-4</v>
      </c>
      <c r="D9" s="3">
        <f>D8/AVERAGE(D4:D6)-1</f>
        <v>0.37124074353936831</v>
      </c>
      <c r="E9" s="3">
        <f>E8/AVERAGE(E4:E6)-1</f>
        <v>0.49279525334337904</v>
      </c>
      <c r="F9" s="3">
        <f>F8/AVERAGE(F4:F6)-1</f>
        <v>0.67432829223628965</v>
      </c>
      <c r="G9" s="3">
        <f>G8/AVERAGE(G4:G6)-1</f>
        <v>0.7203129084376052</v>
      </c>
    </row>
    <row r="10" spans="1:7" x14ac:dyDescent="0.55000000000000004">
      <c r="B10" s="133" t="s">
        <v>623</v>
      </c>
      <c r="C10" s="132"/>
      <c r="D10" s="134">
        <v>6252</v>
      </c>
      <c r="E10" s="134">
        <v>11598</v>
      </c>
      <c r="F10" s="134">
        <v>18698</v>
      </c>
      <c r="G10" s="134">
        <v>28191</v>
      </c>
    </row>
    <row r="12" spans="1:7" x14ac:dyDescent="0.55000000000000004">
      <c r="B12" s="14" t="s">
        <v>1</v>
      </c>
      <c r="C12" s="14">
        <v>2020</v>
      </c>
      <c r="D12" s="14">
        <f>C12+1</f>
        <v>2021</v>
      </c>
      <c r="E12" s="14">
        <f>D12+1</f>
        <v>2022</v>
      </c>
      <c r="F12" s="14">
        <f>E12+1</f>
        <v>2023</v>
      </c>
      <c r="G12" s="14">
        <f>F12+1</f>
        <v>2024</v>
      </c>
    </row>
    <row r="13" spans="1:7" x14ac:dyDescent="0.55000000000000004">
      <c r="A13" t="str">
        <f>A3</f>
        <v>MS</v>
      </c>
      <c r="B13" s="39">
        <v>1</v>
      </c>
      <c r="C13">
        <v>104</v>
      </c>
      <c r="D13">
        <v>232</v>
      </c>
      <c r="E13">
        <v>433</v>
      </c>
      <c r="F13">
        <v>721</v>
      </c>
      <c r="G13">
        <v>1104</v>
      </c>
    </row>
    <row r="14" spans="1:7" x14ac:dyDescent="0.55000000000000004">
      <c r="A14" t="str">
        <f>A4</f>
        <v>UBS</v>
      </c>
      <c r="B14" s="39">
        <v>2</v>
      </c>
      <c r="C14">
        <v>104</v>
      </c>
      <c r="D14">
        <v>173</v>
      </c>
      <c r="E14">
        <v>271</v>
      </c>
      <c r="F14">
        <v>414</v>
      </c>
      <c r="G14">
        <v>605</v>
      </c>
    </row>
    <row r="15" spans="1:7" x14ac:dyDescent="0.55000000000000004">
      <c r="A15" t="str">
        <f>A5</f>
        <v>Citi</v>
      </c>
      <c r="B15" s="39">
        <v>3</v>
      </c>
      <c r="C15">
        <v>104</v>
      </c>
      <c r="D15">
        <v>186</v>
      </c>
      <c r="E15">
        <v>295</v>
      </c>
      <c r="F15">
        <v>437</v>
      </c>
      <c r="G15">
        <v>628</v>
      </c>
    </row>
    <row r="16" spans="1:7" x14ac:dyDescent="0.55000000000000004">
      <c r="A16" t="str">
        <f>A6</f>
        <v>JPM</v>
      </c>
      <c r="B16" s="40">
        <v>4</v>
      </c>
      <c r="C16" s="14">
        <v>104</v>
      </c>
      <c r="D16" s="14">
        <v>175</v>
      </c>
      <c r="E16" s="14">
        <v>268</v>
      </c>
      <c r="F16" s="14">
        <v>371</v>
      </c>
      <c r="G16" s="14">
        <v>496</v>
      </c>
    </row>
    <row r="17" spans="1:7" x14ac:dyDescent="0.55000000000000004">
      <c r="B17" s="39" t="s">
        <v>222</v>
      </c>
      <c r="C17" s="9">
        <f>AVERAGE(C14:C16)</f>
        <v>104</v>
      </c>
      <c r="D17" s="9">
        <f>AVERAGE(D14:D16)</f>
        <v>178</v>
      </c>
      <c r="E17" s="9">
        <f>AVERAGE(E14:E16)</f>
        <v>278</v>
      </c>
      <c r="F17" s="9">
        <f>AVERAGE(F14:F16)</f>
        <v>407.33333333333331</v>
      </c>
      <c r="G17" s="9">
        <f>AVERAGE(G14:G16)</f>
        <v>576.33333333333337</v>
      </c>
    </row>
    <row r="18" spans="1:7" x14ac:dyDescent="0.55000000000000004">
      <c r="B18" s="39" t="s">
        <v>229</v>
      </c>
      <c r="C18" s="9">
        <f>Master!E98</f>
        <v>104</v>
      </c>
      <c r="D18" s="9">
        <f>Master!F98</f>
        <v>244.1</v>
      </c>
      <c r="E18" s="9">
        <f>Master!G98</f>
        <v>418.9</v>
      </c>
      <c r="F18" s="9">
        <f>Master!H98</f>
        <v>650.4</v>
      </c>
      <c r="G18" s="9">
        <f>Master!I98</f>
        <v>794.83371482889743</v>
      </c>
    </row>
    <row r="19" spans="1:7" x14ac:dyDescent="0.55000000000000004">
      <c r="B19" s="39" t="s">
        <v>231</v>
      </c>
      <c r="C19" s="3">
        <f>C18/AVERAGE(C14:C16)-1</f>
        <v>0</v>
      </c>
      <c r="D19" s="3">
        <f>D18/AVERAGE(D14:D16)-1</f>
        <v>0.37134831460674156</v>
      </c>
      <c r="E19" s="3">
        <f>E18/AVERAGE(E14:E16)-1</f>
        <v>0.50683453237410059</v>
      </c>
      <c r="F19" s="3">
        <f>F18/AVERAGE(F14:F16)-1</f>
        <v>0.59672667757774134</v>
      </c>
      <c r="G19" s="3">
        <f>G18/AVERAGE(G14:G16)-1</f>
        <v>0.37912154105650209</v>
      </c>
    </row>
    <row r="20" spans="1:7" x14ac:dyDescent="0.55000000000000004">
      <c r="B20" s="133" t="s">
        <v>623</v>
      </c>
      <c r="C20" s="132"/>
      <c r="D20" s="134">
        <v>242</v>
      </c>
      <c r="E20" s="134">
        <v>415</v>
      </c>
      <c r="F20" s="134">
        <v>639</v>
      </c>
      <c r="G20" s="134">
        <v>935</v>
      </c>
    </row>
    <row r="22" spans="1:7" x14ac:dyDescent="0.55000000000000004">
      <c r="B22" t="s">
        <v>226</v>
      </c>
    </row>
    <row r="23" spans="1:7" x14ac:dyDescent="0.55000000000000004">
      <c r="A23" t="str">
        <f t="shared" ref="A23:B26" si="0">A13</f>
        <v>MS</v>
      </c>
      <c r="B23" s="39">
        <f t="shared" si="0"/>
        <v>1</v>
      </c>
      <c r="C23" s="3">
        <f t="shared" ref="C23:G26" si="1">C13/C3</f>
        <v>5.0363196125907991E-2</v>
      </c>
      <c r="D23" s="3">
        <f t="shared" si="1"/>
        <v>4.2506412605349944E-2</v>
      </c>
      <c r="E23" s="3">
        <f t="shared" si="1"/>
        <v>4.1932984698818516E-2</v>
      </c>
      <c r="F23" s="3">
        <f t="shared" si="1"/>
        <v>4.2193352059925096E-2</v>
      </c>
      <c r="G23" s="3">
        <f t="shared" si="1"/>
        <v>4.231344141658043E-2</v>
      </c>
    </row>
    <row r="24" spans="1:7" x14ac:dyDescent="0.55000000000000004">
      <c r="A24" t="str">
        <f t="shared" si="0"/>
        <v>UBS</v>
      </c>
      <c r="B24" s="39">
        <f t="shared" si="0"/>
        <v>2</v>
      </c>
      <c r="C24" s="3">
        <f t="shared" si="1"/>
        <v>5.0363196125907991E-2</v>
      </c>
      <c r="D24" s="3">
        <f t="shared" si="1"/>
        <v>3.9131418231169418E-2</v>
      </c>
      <c r="E24" s="3">
        <f t="shared" si="1"/>
        <v>3.8195912614517269E-2</v>
      </c>
      <c r="F24" s="3">
        <f t="shared" si="1"/>
        <v>3.7293937483109628E-2</v>
      </c>
      <c r="G24" s="3">
        <f t="shared" si="1"/>
        <v>3.7150752225974824E-2</v>
      </c>
    </row>
    <row r="25" spans="1:7" x14ac:dyDescent="0.55000000000000004">
      <c r="A25" t="str">
        <f t="shared" si="0"/>
        <v>Citi</v>
      </c>
      <c r="B25" s="39">
        <f t="shared" si="0"/>
        <v>3</v>
      </c>
      <c r="C25" s="3">
        <f t="shared" si="1"/>
        <v>5.0363196125907991E-2</v>
      </c>
      <c r="D25" s="3">
        <f t="shared" si="1"/>
        <v>3.9701173959445037E-2</v>
      </c>
      <c r="E25" s="3">
        <f t="shared" si="1"/>
        <v>3.809892806405786E-2</v>
      </c>
      <c r="F25" s="3">
        <f t="shared" si="1"/>
        <v>3.7623762376237622E-2</v>
      </c>
      <c r="G25" s="3">
        <f t="shared" si="1"/>
        <v>3.7289947152781902E-2</v>
      </c>
    </row>
    <row r="26" spans="1:7" x14ac:dyDescent="0.55000000000000004">
      <c r="A26" t="str">
        <f t="shared" si="0"/>
        <v>JPM</v>
      </c>
      <c r="B26" s="40">
        <f t="shared" si="0"/>
        <v>4</v>
      </c>
      <c r="C26" s="41">
        <f t="shared" si="1"/>
        <v>5.0363196125907991E-2</v>
      </c>
      <c r="D26" s="41">
        <f t="shared" si="1"/>
        <v>4.2393410852713177E-2</v>
      </c>
      <c r="E26" s="41">
        <f t="shared" si="1"/>
        <v>4.188809002813379E-2</v>
      </c>
      <c r="F26" s="41">
        <f t="shared" si="1"/>
        <v>4.142011834319527E-2</v>
      </c>
      <c r="G26" s="41">
        <f t="shared" si="1"/>
        <v>4.1333333333333333E-2</v>
      </c>
    </row>
    <row r="27" spans="1:7" x14ac:dyDescent="0.55000000000000004">
      <c r="B27" s="39" t="s">
        <v>222</v>
      </c>
      <c r="C27" s="3">
        <f t="shared" ref="C27:G28" si="2">C17/C7</f>
        <v>5.0363196125907991E-2</v>
      </c>
      <c r="D27" s="3">
        <f t="shared" si="2"/>
        <v>4.0350612059845851E-2</v>
      </c>
      <c r="E27" s="3">
        <f t="shared" si="2"/>
        <v>3.9272932755697869E-2</v>
      </c>
      <c r="F27" s="3">
        <f t="shared" si="2"/>
        <v>3.8581757332743979E-2</v>
      </c>
      <c r="G27" s="3">
        <f t="shared" si="2"/>
        <v>3.8314940389132655E-2</v>
      </c>
    </row>
    <row r="28" spans="1:7" x14ac:dyDescent="0.55000000000000004">
      <c r="B28" s="39" t="s">
        <v>229</v>
      </c>
      <c r="C28" s="3">
        <f t="shared" si="2"/>
        <v>5.0387596899224806E-2</v>
      </c>
      <c r="D28" s="3">
        <f t="shared" si="2"/>
        <v>4.035377748388163E-2</v>
      </c>
      <c r="E28" s="3">
        <f t="shared" si="2"/>
        <v>3.9642282577836661E-2</v>
      </c>
      <c r="F28" s="3">
        <f t="shared" si="2"/>
        <v>3.679357357017593E-2</v>
      </c>
      <c r="G28" s="3">
        <f t="shared" si="2"/>
        <v>3.0715900215466614E-2</v>
      </c>
    </row>
    <row r="29" spans="1:7" x14ac:dyDescent="0.55000000000000004">
      <c r="B29" s="133" t="str">
        <f>B20</f>
        <v>Visible Alpha (Mar 14th)</v>
      </c>
      <c r="C29" s="132"/>
      <c r="D29" s="132">
        <f>D20/D10</f>
        <v>3.8707613563659628E-2</v>
      </c>
      <c r="E29" s="132">
        <f>E20/E10</f>
        <v>3.5782031384721504E-2</v>
      </c>
      <c r="F29" s="132">
        <f>F20/F10</f>
        <v>3.4174778051128465E-2</v>
      </c>
      <c r="G29" s="132">
        <f>G20/G10</f>
        <v>3.3166613458195882E-2</v>
      </c>
    </row>
    <row r="30" spans="1:7" x14ac:dyDescent="0.55000000000000004">
      <c r="B30" s="39"/>
      <c r="C30" s="3"/>
      <c r="D30" s="3"/>
      <c r="E30" s="3"/>
      <c r="F30" s="3"/>
      <c r="G30" s="3"/>
    </row>
    <row r="31" spans="1:7" x14ac:dyDescent="0.55000000000000004">
      <c r="B31" s="14" t="s">
        <v>3</v>
      </c>
      <c r="C31" s="14">
        <v>2020</v>
      </c>
      <c r="D31" s="14">
        <f>C31+1</f>
        <v>2021</v>
      </c>
      <c r="E31" s="14">
        <f>D31+1</f>
        <v>2022</v>
      </c>
      <c r="F31" s="14">
        <f>E31+1</f>
        <v>2023</v>
      </c>
      <c r="G31" s="14">
        <f>F31+1</f>
        <v>2024</v>
      </c>
    </row>
    <row r="32" spans="1:7" x14ac:dyDescent="0.55000000000000004">
      <c r="A32" t="str">
        <f>A23</f>
        <v>MS</v>
      </c>
      <c r="B32" s="39">
        <v>1</v>
      </c>
      <c r="C32">
        <v>41</v>
      </c>
      <c r="D32">
        <v>102</v>
      </c>
      <c r="E32">
        <v>201</v>
      </c>
      <c r="F32">
        <v>352</v>
      </c>
      <c r="G32">
        <v>549</v>
      </c>
    </row>
    <row r="33" spans="1:7" x14ac:dyDescent="0.55000000000000004">
      <c r="A33" t="str">
        <f>A24</f>
        <v>UBS</v>
      </c>
      <c r="B33" s="39">
        <v>2</v>
      </c>
      <c r="C33">
        <v>38</v>
      </c>
      <c r="D33">
        <v>69</v>
      </c>
      <c r="E33">
        <v>112</v>
      </c>
      <c r="F33">
        <v>180</v>
      </c>
      <c r="G33">
        <v>272</v>
      </c>
    </row>
    <row r="34" spans="1:7" x14ac:dyDescent="0.55000000000000004">
      <c r="A34" t="str">
        <f>A25</f>
        <v>Citi</v>
      </c>
      <c r="B34" s="39">
        <v>3</v>
      </c>
      <c r="C34">
        <v>42</v>
      </c>
      <c r="D34">
        <v>78</v>
      </c>
      <c r="E34">
        <v>131</v>
      </c>
      <c r="F34">
        <v>198</v>
      </c>
      <c r="G34">
        <v>294</v>
      </c>
    </row>
    <row r="35" spans="1:7" x14ac:dyDescent="0.55000000000000004">
      <c r="A35" t="str">
        <f>A26</f>
        <v>JPM</v>
      </c>
      <c r="B35" s="40">
        <v>4</v>
      </c>
      <c r="C35" s="14"/>
      <c r="D35" s="14"/>
      <c r="E35" s="14"/>
      <c r="F35" s="14"/>
      <c r="G35" s="14"/>
    </row>
    <row r="36" spans="1:7" x14ac:dyDescent="0.55000000000000004">
      <c r="B36" t="s">
        <v>222</v>
      </c>
      <c r="C36" s="9">
        <f>AVERAGE(C33:C34)</f>
        <v>40</v>
      </c>
      <c r="D36" s="9">
        <f>AVERAGE(D33:D34)</f>
        <v>73.5</v>
      </c>
      <c r="E36" s="9">
        <f>AVERAGE(E33:E34)</f>
        <v>121.5</v>
      </c>
      <c r="F36" s="9">
        <f>AVERAGE(F33:F34)</f>
        <v>189</v>
      </c>
      <c r="G36" s="9">
        <f>AVERAGE(G33:G34)</f>
        <v>283</v>
      </c>
    </row>
    <row r="37" spans="1:7" x14ac:dyDescent="0.55000000000000004">
      <c r="B37" t="s">
        <v>229</v>
      </c>
      <c r="C37" s="9">
        <f>Master!E223</f>
        <v>41.930999999999997</v>
      </c>
      <c r="D37" s="9">
        <f>Master!F223</f>
        <v>99.2</v>
      </c>
      <c r="E37" s="9">
        <f>Master!G223</f>
        <v>153.07499999999999</v>
      </c>
      <c r="F37" s="9">
        <f>Master!H223</f>
        <v>202.3</v>
      </c>
      <c r="G37" s="9">
        <f>Master!I223</f>
        <v>195.61885639486695</v>
      </c>
    </row>
    <row r="38" spans="1:7" x14ac:dyDescent="0.55000000000000004">
      <c r="B38" s="39" t="s">
        <v>230</v>
      </c>
      <c r="C38" s="3">
        <f>C37/C36-1</f>
        <v>4.8274999999999846E-2</v>
      </c>
      <c r="D38" s="3">
        <f>D37/D36-1</f>
        <v>0.34965986394557835</v>
      </c>
      <c r="E38" s="3">
        <f>E37/E36-1</f>
        <v>0.25987654320987641</v>
      </c>
      <c r="F38" s="3">
        <f>F37/F36-1</f>
        <v>7.0370370370370416E-2</v>
      </c>
      <c r="G38" s="3">
        <f>G37/G36-1</f>
        <v>-0.30876729189092955</v>
      </c>
    </row>
    <row r="39" spans="1:7" x14ac:dyDescent="0.55000000000000004">
      <c r="B39" s="133" t="s">
        <v>623</v>
      </c>
      <c r="C39" s="132"/>
      <c r="D39" s="134">
        <v>96.5</v>
      </c>
      <c r="E39" s="134">
        <v>150.80000000000001</v>
      </c>
      <c r="F39" s="134">
        <v>236.1</v>
      </c>
      <c r="G39" s="134">
        <v>357.3</v>
      </c>
    </row>
    <row r="40" spans="1:7" x14ac:dyDescent="0.55000000000000004">
      <c r="B40" s="133"/>
      <c r="C40" s="132"/>
      <c r="D40" s="135">
        <f>D37/D39-1</f>
        <v>2.797927461139893E-2</v>
      </c>
      <c r="E40" s="135">
        <f>E37/E39-1</f>
        <v>1.5086206896551602E-2</v>
      </c>
      <c r="F40" s="135">
        <f>F37/F39-1</f>
        <v>-0.14315967810249886</v>
      </c>
      <c r="G40" s="135">
        <f>G37/G39-1</f>
        <v>-0.45250809853101892</v>
      </c>
    </row>
    <row r="42" spans="1:7" x14ac:dyDescent="0.55000000000000004">
      <c r="B42" s="14" t="s">
        <v>225</v>
      </c>
      <c r="C42" s="14">
        <v>2020</v>
      </c>
      <c r="D42" s="14">
        <f>C42+1</f>
        <v>2021</v>
      </c>
      <c r="E42" s="14">
        <f>D42+1</f>
        <v>2022</v>
      </c>
      <c r="F42" s="14">
        <f>E42+1</f>
        <v>2023</v>
      </c>
      <c r="G42" s="14">
        <f>F42+1</f>
        <v>2024</v>
      </c>
    </row>
    <row r="43" spans="1:7" x14ac:dyDescent="0.55000000000000004">
      <c r="A43" t="str">
        <f>A32</f>
        <v>MS</v>
      </c>
      <c r="B43" s="39">
        <v>1</v>
      </c>
      <c r="C43" s="3">
        <f t="shared" ref="C43:G45" si="3">C32/C13</f>
        <v>0.39423076923076922</v>
      </c>
      <c r="D43" s="3">
        <f t="shared" si="3"/>
        <v>0.43965517241379309</v>
      </c>
      <c r="E43" s="3">
        <f t="shared" si="3"/>
        <v>0.46420323325635104</v>
      </c>
      <c r="F43" s="3">
        <f t="shared" si="3"/>
        <v>0.48821081830790569</v>
      </c>
      <c r="G43" s="3">
        <f t="shared" si="3"/>
        <v>0.49728260869565216</v>
      </c>
    </row>
    <row r="44" spans="1:7" x14ac:dyDescent="0.55000000000000004">
      <c r="A44" t="str">
        <f>A33</f>
        <v>UBS</v>
      </c>
      <c r="B44" s="39">
        <v>2</v>
      </c>
      <c r="C44" s="3">
        <f t="shared" si="3"/>
        <v>0.36538461538461536</v>
      </c>
      <c r="D44" s="3">
        <f t="shared" si="3"/>
        <v>0.39884393063583817</v>
      </c>
      <c r="E44" s="3">
        <f t="shared" si="3"/>
        <v>0.41328413284132842</v>
      </c>
      <c r="F44" s="3">
        <f t="shared" si="3"/>
        <v>0.43478260869565216</v>
      </c>
      <c r="G44" s="3">
        <f t="shared" si="3"/>
        <v>0.44958677685950416</v>
      </c>
    </row>
    <row r="45" spans="1:7" x14ac:dyDescent="0.55000000000000004">
      <c r="A45" t="str">
        <f>A34</f>
        <v>Citi</v>
      </c>
      <c r="B45" s="39">
        <v>3</v>
      </c>
      <c r="C45" s="3">
        <f t="shared" si="3"/>
        <v>0.40384615384615385</v>
      </c>
      <c r="D45" s="3">
        <f t="shared" si="3"/>
        <v>0.41935483870967744</v>
      </c>
      <c r="E45" s="3">
        <f t="shared" si="3"/>
        <v>0.44406779661016949</v>
      </c>
      <c r="F45" s="3">
        <f t="shared" si="3"/>
        <v>0.45308924485125857</v>
      </c>
      <c r="G45" s="3">
        <f t="shared" si="3"/>
        <v>0.46815286624203822</v>
      </c>
    </row>
    <row r="46" spans="1:7" x14ac:dyDescent="0.55000000000000004">
      <c r="A46" t="str">
        <f>A35</f>
        <v>JPM</v>
      </c>
      <c r="B46" s="40">
        <v>4</v>
      </c>
      <c r="C46" s="41"/>
      <c r="D46" s="41"/>
      <c r="E46" s="41"/>
      <c r="F46" s="41"/>
      <c r="G46" s="41"/>
    </row>
    <row r="47" spans="1:7" x14ac:dyDescent="0.55000000000000004">
      <c r="B47" t="s">
        <v>222</v>
      </c>
      <c r="C47" s="3">
        <f>C36/(AVERAGE(C14:C15))</f>
        <v>0.38461538461538464</v>
      </c>
      <c r="D47" s="3">
        <f>D36/(AVERAGE(D14:D15))</f>
        <v>0.40947075208913647</v>
      </c>
      <c r="E47" s="3">
        <f>E36/(AVERAGE(E14:E15))</f>
        <v>0.42932862190812721</v>
      </c>
      <c r="F47" s="3">
        <f>F36/(AVERAGE(F14:F15))</f>
        <v>0.44418331374853115</v>
      </c>
      <c r="G47" s="3">
        <f>G36/(AVERAGE(G14:G15))</f>
        <v>0.45904298459042986</v>
      </c>
    </row>
    <row r="48" spans="1:7" x14ac:dyDescent="0.55000000000000004">
      <c r="B48" t="s">
        <v>229</v>
      </c>
      <c r="C48" s="3">
        <f>C37/C18</f>
        <v>0.40318269230769227</v>
      </c>
      <c r="D48" s="3">
        <f>D37/D18</f>
        <v>0.4063908234330193</v>
      </c>
      <c r="E48" s="3">
        <f>E37/E18</f>
        <v>0.36542134160897588</v>
      </c>
      <c r="F48" s="3">
        <f>F37/F18</f>
        <v>0.31103936039360397</v>
      </c>
      <c r="G48" s="3">
        <f>G37/G18</f>
        <v>0.24611293248547905</v>
      </c>
    </row>
    <row r="50" spans="2:7" x14ac:dyDescent="0.55000000000000004">
      <c r="B50" s="38" t="str">
        <f>B39</f>
        <v>Visible Alpha (Mar 14th)</v>
      </c>
      <c r="C50" s="132"/>
      <c r="D50" s="132">
        <f>D39/D20</f>
        <v>0.3987603305785124</v>
      </c>
      <c r="E50" s="132">
        <f>E39/E20</f>
        <v>0.36337349397590363</v>
      </c>
      <c r="F50" s="132">
        <f>F39/F20</f>
        <v>0.36948356807511734</v>
      </c>
      <c r="G50" s="132">
        <f>G39/G20</f>
        <v>0.38213903743315508</v>
      </c>
    </row>
    <row r="51" spans="2:7" x14ac:dyDescent="0.55000000000000004">
      <c r="C51" s="3"/>
      <c r="D51" s="3"/>
      <c r="E51" s="3"/>
      <c r="F51" s="3"/>
      <c r="G51" s="3"/>
    </row>
    <row r="52" spans="2:7" x14ac:dyDescent="0.55000000000000004">
      <c r="B52" t="s">
        <v>110</v>
      </c>
      <c r="C52" s="3"/>
      <c r="D52" s="3"/>
      <c r="E52" s="3"/>
      <c r="F52" s="3"/>
      <c r="G52" s="3"/>
    </row>
    <row r="53" spans="2:7" x14ac:dyDescent="0.55000000000000004">
      <c r="B53" t="s">
        <v>229</v>
      </c>
      <c r="C53" s="3"/>
      <c r="D53" s="9">
        <f>Master!F234</f>
        <v>77.852999999999994</v>
      </c>
      <c r="E53" s="9">
        <f>Master!G234</f>
        <v>109.724</v>
      </c>
      <c r="F53" s="9">
        <f>Master!H234</f>
        <v>149.29999999999998</v>
      </c>
      <c r="G53" s="9">
        <f>Master!I234</f>
        <v>130.59153510676808</v>
      </c>
    </row>
    <row r="54" spans="2:7" x14ac:dyDescent="0.55000000000000004">
      <c r="B54" t="str">
        <f>B50</f>
        <v>Visible Alpha (Mar 14th)</v>
      </c>
      <c r="C54" s="3"/>
      <c r="D54" s="134">
        <v>76.099999999999994</v>
      </c>
      <c r="E54" s="134">
        <v>126.5</v>
      </c>
      <c r="F54" s="134">
        <v>213.3</v>
      </c>
      <c r="G54" s="134">
        <v>347.4</v>
      </c>
    </row>
    <row r="55" spans="2:7" x14ac:dyDescent="0.55000000000000004">
      <c r="C55" s="3"/>
      <c r="D55" s="3"/>
      <c r="E55" s="3"/>
      <c r="F55" s="3"/>
      <c r="G55" s="3"/>
    </row>
    <row r="56" spans="2:7" x14ac:dyDescent="0.55000000000000004">
      <c r="B56" s="64" t="s">
        <v>784</v>
      </c>
      <c r="C56" s="64">
        <f>D2</f>
        <v>2021</v>
      </c>
      <c r="D56" s="64">
        <f>E2</f>
        <v>2022</v>
      </c>
      <c r="E56" s="64">
        <f>F2</f>
        <v>2023</v>
      </c>
      <c r="F56" s="64">
        <f>G2</f>
        <v>2024</v>
      </c>
    </row>
    <row r="57" spans="2:7" x14ac:dyDescent="0.55000000000000004">
      <c r="B57" s="66" t="str">
        <f>B2</f>
        <v>TPV</v>
      </c>
      <c r="C57" s="67">
        <f>D8</f>
        <v>6049</v>
      </c>
      <c r="D57" s="67">
        <f>E8</f>
        <v>10567</v>
      </c>
      <c r="E57" s="67">
        <f>F8</f>
        <v>17677</v>
      </c>
      <c r="F57" s="67">
        <f>G8</f>
        <v>25876.946768718459</v>
      </c>
    </row>
    <row r="58" spans="2:7" x14ac:dyDescent="0.55000000000000004">
      <c r="B58" s="68" t="s">
        <v>344</v>
      </c>
      <c r="C58" s="69">
        <f>D18</f>
        <v>244.1</v>
      </c>
      <c r="D58" s="69">
        <f>E18</f>
        <v>418.9</v>
      </c>
      <c r="E58" s="69">
        <f>F18</f>
        <v>650.4</v>
      </c>
      <c r="F58" s="69">
        <f>G18</f>
        <v>794.83371482889743</v>
      </c>
    </row>
    <row r="59" spans="2:7" x14ac:dyDescent="0.55000000000000004">
      <c r="B59" s="66" t="s">
        <v>219</v>
      </c>
      <c r="C59" s="76">
        <f>Master!F178</f>
        <v>1.9182692307692308</v>
      </c>
      <c r="D59" s="76">
        <f>Master!G178</f>
        <v>1.5759934453092994</v>
      </c>
      <c r="E59" s="76">
        <f>Master!H178</f>
        <v>1.4621532585342565</v>
      </c>
      <c r="F59" s="76">
        <f>Master!I178</f>
        <v>1.22</v>
      </c>
    </row>
    <row r="60" spans="2:7" x14ac:dyDescent="0.55000000000000004">
      <c r="B60" s="68" t="s">
        <v>254</v>
      </c>
      <c r="C60" s="73">
        <f>C58/C57</f>
        <v>4.035377748388163E-2</v>
      </c>
      <c r="D60" s="73">
        <f>D58/D57</f>
        <v>3.9642282577836661E-2</v>
      </c>
      <c r="E60" s="73">
        <f>E58/E57</f>
        <v>3.679357357017593E-2</v>
      </c>
      <c r="F60" s="73">
        <f>F58/F57</f>
        <v>3.0715900215466614E-2</v>
      </c>
    </row>
    <row r="61" spans="2:7" x14ac:dyDescent="0.55000000000000004">
      <c r="B61" s="66" t="s">
        <v>3</v>
      </c>
      <c r="C61" s="75">
        <f>Master!F223</f>
        <v>99.2</v>
      </c>
      <c r="D61" s="75">
        <f>Master!G223</f>
        <v>153.07499999999999</v>
      </c>
      <c r="E61" s="75">
        <f>Master!H223</f>
        <v>202.3</v>
      </c>
      <c r="F61" s="75">
        <f>Master!I223</f>
        <v>195.61885639486695</v>
      </c>
    </row>
    <row r="62" spans="2:7" x14ac:dyDescent="0.55000000000000004">
      <c r="B62" s="68" t="s">
        <v>225</v>
      </c>
      <c r="C62" s="73">
        <f>C61/C58</f>
        <v>0.4063908234330193</v>
      </c>
      <c r="D62" s="73">
        <f>D61/D58</f>
        <v>0.36542134160897588</v>
      </c>
      <c r="E62" s="73">
        <f>E61/E58</f>
        <v>0.31103936039360397</v>
      </c>
      <c r="F62" s="73">
        <f>F61/F58</f>
        <v>0.24611293248547905</v>
      </c>
    </row>
    <row r="63" spans="2:7" x14ac:dyDescent="0.55000000000000004">
      <c r="B63" s="66" t="s">
        <v>110</v>
      </c>
      <c r="C63" s="75">
        <f>D39</f>
        <v>96.5</v>
      </c>
      <c r="D63" s="66"/>
      <c r="E63" s="66"/>
      <c r="F63" s="66"/>
    </row>
    <row r="64" spans="2:7" x14ac:dyDescent="0.55000000000000004">
      <c r="B64" s="68"/>
      <c r="C64" s="77"/>
      <c r="D64" s="68"/>
      <c r="E64" s="68"/>
      <c r="F64" s="68"/>
    </row>
    <row r="65" spans="2:10" x14ac:dyDescent="0.55000000000000004">
      <c r="B65" s="78" t="s">
        <v>222</v>
      </c>
      <c r="C65" s="78">
        <f>C56</f>
        <v>2021</v>
      </c>
      <c r="D65" s="78">
        <f>D56</f>
        <v>2022</v>
      </c>
      <c r="E65" s="78">
        <f>E56</f>
        <v>2023</v>
      </c>
      <c r="F65" s="78">
        <f>F56</f>
        <v>2024</v>
      </c>
    </row>
    <row r="66" spans="2:10" x14ac:dyDescent="0.55000000000000004">
      <c r="B66" s="68" t="str">
        <f>B57</f>
        <v>TPV</v>
      </c>
      <c r="C66" s="69">
        <f>C57</f>
        <v>6049</v>
      </c>
      <c r="D66" s="69">
        <v>10826</v>
      </c>
      <c r="E66" s="69">
        <v>17455</v>
      </c>
      <c r="F66" s="69">
        <v>26100</v>
      </c>
    </row>
    <row r="67" spans="2:10" x14ac:dyDescent="0.55000000000000004">
      <c r="B67" s="66" t="s">
        <v>344</v>
      </c>
      <c r="C67" s="67">
        <f>C58</f>
        <v>244.1</v>
      </c>
      <c r="D67" s="67">
        <v>415</v>
      </c>
      <c r="E67" s="67">
        <v>640</v>
      </c>
      <c r="F67" s="67">
        <v>969</v>
      </c>
    </row>
    <row r="68" spans="2:10" x14ac:dyDescent="0.55000000000000004">
      <c r="B68" s="68" t="str">
        <f>B59</f>
        <v>NRR</v>
      </c>
      <c r="C68" s="79">
        <f>C59</f>
        <v>1.9182692307692308</v>
      </c>
      <c r="D68" s="69"/>
      <c r="E68" s="69"/>
      <c r="F68" s="69"/>
    </row>
    <row r="69" spans="2:10" x14ac:dyDescent="0.55000000000000004">
      <c r="B69" s="66" t="str">
        <f>B60</f>
        <v>Gross take-rate</v>
      </c>
      <c r="C69" s="70">
        <f>C67/C66</f>
        <v>4.035377748388163E-2</v>
      </c>
      <c r="D69" s="70">
        <f>D67/D66</f>
        <v>3.8333641234066136E-2</v>
      </c>
      <c r="E69" s="70">
        <f>E67/E66</f>
        <v>3.6665711830421083E-2</v>
      </c>
      <c r="F69" s="70">
        <f>F67/F66</f>
        <v>3.7126436781609193E-2</v>
      </c>
    </row>
    <row r="70" spans="2:10" x14ac:dyDescent="0.55000000000000004">
      <c r="B70" s="68" t="str">
        <f>B61</f>
        <v>EBITDA</v>
      </c>
      <c r="C70" s="77">
        <f>C61</f>
        <v>99.2</v>
      </c>
      <c r="D70" s="77">
        <v>154</v>
      </c>
      <c r="E70" s="77">
        <v>241</v>
      </c>
      <c r="F70" s="77">
        <v>357</v>
      </c>
    </row>
    <row r="71" spans="2:10" x14ac:dyDescent="0.55000000000000004">
      <c r="B71" s="66" t="str">
        <f>B62</f>
        <v>EBITDA margin</v>
      </c>
      <c r="C71" s="70">
        <f>C70/C67</f>
        <v>0.4063908234330193</v>
      </c>
      <c r="D71" s="70">
        <f>D70/D67</f>
        <v>0.37108433734939761</v>
      </c>
      <c r="E71" s="70">
        <f>E70/E67</f>
        <v>0.37656250000000002</v>
      </c>
      <c r="F71" s="70">
        <f>F70/F67</f>
        <v>0.36842105263157893</v>
      </c>
    </row>
    <row r="72" spans="2:10" x14ac:dyDescent="0.55000000000000004">
      <c r="B72" s="68"/>
      <c r="C72" s="68"/>
      <c r="D72" s="68"/>
      <c r="E72" s="68"/>
      <c r="F72" s="68"/>
    </row>
    <row r="73" spans="2:10" x14ac:dyDescent="0.55000000000000004">
      <c r="B73" s="78" t="s">
        <v>343</v>
      </c>
      <c r="C73" s="78">
        <f>C56</f>
        <v>2021</v>
      </c>
      <c r="D73" s="78">
        <f>D56</f>
        <v>2022</v>
      </c>
      <c r="E73" s="78">
        <f>E56</f>
        <v>2023</v>
      </c>
      <c r="F73" s="78">
        <f>F56</f>
        <v>2024</v>
      </c>
    </row>
    <row r="74" spans="2:10" x14ac:dyDescent="0.55000000000000004">
      <c r="B74" s="68" t="str">
        <f>B66</f>
        <v>TPV</v>
      </c>
      <c r="C74" s="73"/>
      <c r="D74" s="73">
        <f t="shared" ref="D74:F75" si="4">D57/D66-1</f>
        <v>-2.3923886938850947E-2</v>
      </c>
      <c r="E74" s="73">
        <f t="shared" si="4"/>
        <v>1.2718418791177299E-2</v>
      </c>
      <c r="F74" s="73">
        <f t="shared" si="4"/>
        <v>-8.5461008153847606E-3</v>
      </c>
    </row>
    <row r="75" spans="2:10" x14ac:dyDescent="0.55000000000000004">
      <c r="B75" s="66" t="str">
        <f>B67</f>
        <v>Revenue (gross)</v>
      </c>
      <c r="C75" s="70"/>
      <c r="D75" s="70">
        <f t="shared" si="4"/>
        <v>9.3975903614458289E-3</v>
      </c>
      <c r="E75" s="70">
        <f t="shared" si="4"/>
        <v>1.6249999999999876E-2</v>
      </c>
      <c r="F75" s="70">
        <f t="shared" si="4"/>
        <v>-0.17973816839123069</v>
      </c>
    </row>
    <row r="76" spans="2:10" x14ac:dyDescent="0.55000000000000004">
      <c r="B76" s="71" t="str">
        <f>B70</f>
        <v>EBITDA</v>
      </c>
      <c r="C76" s="87"/>
      <c r="D76" s="87">
        <f>D61/D70-1</f>
        <v>-6.0064935064936265E-3</v>
      </c>
      <c r="E76" s="87">
        <f>E61/E70-1</f>
        <v>-0.16058091286307052</v>
      </c>
      <c r="F76" s="87">
        <f>F61/F70-1</f>
        <v>-0.45204802130289368</v>
      </c>
    </row>
    <row r="78" spans="2:10" x14ac:dyDescent="0.55000000000000004">
      <c r="B78" s="1" t="s">
        <v>795</v>
      </c>
      <c r="C78" s="1"/>
      <c r="D78" s="5" t="s">
        <v>787</v>
      </c>
      <c r="E78" s="5" t="s">
        <v>788</v>
      </c>
      <c r="F78" s="5" t="s">
        <v>789</v>
      </c>
      <c r="G78" s="1"/>
      <c r="H78" s="5" t="s">
        <v>790</v>
      </c>
      <c r="I78" s="5" t="s">
        <v>791</v>
      </c>
      <c r="J78" s="5" t="s">
        <v>792</v>
      </c>
    </row>
    <row r="79" spans="2:10" x14ac:dyDescent="0.55000000000000004">
      <c r="B79" t="s">
        <v>0</v>
      </c>
      <c r="D79" s="13" t="e">
        <f>Quarts!#REF!</f>
        <v>#REF!</v>
      </c>
      <c r="E79" s="13" t="e">
        <f>Quarts!#REF!</f>
        <v>#REF!</v>
      </c>
      <c r="F79" s="13" t="e">
        <f>Quarts!#REF!</f>
        <v>#REF!</v>
      </c>
      <c r="G79" s="13"/>
      <c r="H79" s="13">
        <f>Master!G43*1000</f>
        <v>10567</v>
      </c>
      <c r="I79" s="13">
        <f>Master!H43*1000</f>
        <v>17677</v>
      </c>
      <c r="J79" s="13">
        <f>Master!I43*1000</f>
        <v>25876.946768718459</v>
      </c>
    </row>
    <row r="80" spans="2:10" x14ac:dyDescent="0.55000000000000004">
      <c r="B80" t="s">
        <v>1</v>
      </c>
      <c r="D80" s="13" t="e">
        <f>Quarts!#REF!</f>
        <v>#REF!</v>
      </c>
      <c r="E80" s="13" t="e">
        <f>Quarts!#REF!</f>
        <v>#REF!</v>
      </c>
      <c r="F80" s="13" t="e">
        <f>Quarts!#REF!</f>
        <v>#REF!</v>
      </c>
      <c r="G80" s="13"/>
      <c r="H80" s="13">
        <f>Master!G98</f>
        <v>418.9</v>
      </c>
      <c r="I80" s="13">
        <f>Master!H98</f>
        <v>650.4</v>
      </c>
      <c r="J80" s="13">
        <f>Master!I98</f>
        <v>794.83371482889743</v>
      </c>
    </row>
    <row r="81" spans="1:10" x14ac:dyDescent="0.55000000000000004">
      <c r="B81" t="s">
        <v>105</v>
      </c>
      <c r="D81" s="13" t="e">
        <f>Quarts!#REF!</f>
        <v>#REF!</v>
      </c>
      <c r="E81" s="13" t="e">
        <f>Quarts!#REF!</f>
        <v>#REF!</v>
      </c>
      <c r="F81" s="13" t="e">
        <f>Quarts!#REF!</f>
        <v>#REF!</v>
      </c>
      <c r="G81" s="13"/>
      <c r="H81" s="13">
        <f>Master!G195</f>
        <v>202.09999999999997</v>
      </c>
      <c r="I81" s="13">
        <f>Master!H195</f>
        <v>276.90799999999996</v>
      </c>
      <c r="J81" s="13">
        <f>Master!I195</f>
        <v>287.58875022813692</v>
      </c>
    </row>
    <row r="82" spans="1:10" x14ac:dyDescent="0.55000000000000004">
      <c r="A82" s="37"/>
      <c r="B82" s="39" t="s">
        <v>793</v>
      </c>
      <c r="D82" s="13" t="e">
        <f>Quarts!#REF!</f>
        <v>#REF!</v>
      </c>
      <c r="E82" s="13" t="e">
        <f>Quarts!#REF!</f>
        <v>#REF!</v>
      </c>
      <c r="F82" s="13" t="e">
        <f>Quarts!#REF!</f>
        <v>#REF!</v>
      </c>
      <c r="G82" s="13"/>
      <c r="H82" s="13">
        <f>Master!G223</f>
        <v>153.07499999999999</v>
      </c>
      <c r="I82" s="13">
        <f>Master!H223</f>
        <v>202.3</v>
      </c>
      <c r="J82" s="13">
        <f>Master!I223</f>
        <v>195.61885639486695</v>
      </c>
    </row>
    <row r="83" spans="1:10" x14ac:dyDescent="0.55000000000000004">
      <c r="B83" t="s">
        <v>794</v>
      </c>
      <c r="D83" s="13" t="e">
        <f>D80-D82</f>
        <v>#REF!</v>
      </c>
      <c r="E83" s="13" t="e">
        <f>E80-E82</f>
        <v>#REF!</v>
      </c>
      <c r="F83" s="13" t="e">
        <f>F80-F82</f>
        <v>#REF!</v>
      </c>
      <c r="G83" s="13"/>
      <c r="H83" s="13">
        <f>H80-H82</f>
        <v>265.82499999999999</v>
      </c>
      <c r="I83" s="13">
        <f>I80-I82</f>
        <v>448.09999999999997</v>
      </c>
      <c r="J83" s="13">
        <f>J80-J82</f>
        <v>599.21485843403048</v>
      </c>
    </row>
    <row r="84" spans="1:10" x14ac:dyDescent="0.55000000000000004">
      <c r="B84" t="s">
        <v>110</v>
      </c>
      <c r="D84" s="13" t="e">
        <f>Quarts!#REF!</f>
        <v>#REF!</v>
      </c>
      <c r="E84" s="13" t="e">
        <f>Quarts!#REF!</f>
        <v>#REF!</v>
      </c>
      <c r="F84" s="13" t="e">
        <f>Quarts!#REF!</f>
        <v>#REF!</v>
      </c>
      <c r="G84" s="13"/>
      <c r="H84" s="13">
        <f>Master!G234</f>
        <v>109.724</v>
      </c>
      <c r="I84" s="13">
        <f>Master!H234</f>
        <v>149.29999999999998</v>
      </c>
      <c r="J84" s="13">
        <f>Master!I234</f>
        <v>130.59153510676808</v>
      </c>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C41A1-773E-4C92-8E09-1635C9B20D87}">
  <dimension ref="A1:AC73"/>
  <sheetViews>
    <sheetView showGridLines="0" topLeftCell="A47" zoomScale="85" workbookViewId="0">
      <selection activeCell="B56" sqref="B56"/>
    </sheetView>
  </sheetViews>
  <sheetFormatPr defaultRowHeight="14.4" x14ac:dyDescent="0.55000000000000004"/>
  <cols>
    <col min="2" max="2" width="24.9453125" customWidth="1"/>
    <col min="3" max="8" width="8.41796875" customWidth="1"/>
    <col min="9" max="9" width="9.1015625" bestFit="1" customWidth="1"/>
    <col min="10" max="10" width="9.1015625" customWidth="1"/>
    <col min="12" max="12" width="10" customWidth="1"/>
    <col min="13" max="13" width="9.1015625" customWidth="1"/>
  </cols>
  <sheetData>
    <row r="1" spans="1:27" x14ac:dyDescent="0.55000000000000004">
      <c r="H1" s="10"/>
    </row>
    <row r="2" spans="1:27" x14ac:dyDescent="0.55000000000000004">
      <c r="C2" s="198" t="s">
        <v>486</v>
      </c>
      <c r="H2" s="10"/>
    </row>
    <row r="3" spans="1:27" x14ac:dyDescent="0.55000000000000004">
      <c r="B3" s="22" t="s">
        <v>1351</v>
      </c>
      <c r="C3" s="199" t="s">
        <v>969</v>
      </c>
      <c r="D3" s="199" t="s">
        <v>1452</v>
      </c>
      <c r="E3" s="199" t="s">
        <v>1453</v>
      </c>
      <c r="F3" s="199" t="s">
        <v>1455</v>
      </c>
      <c r="G3" s="199" t="s">
        <v>1456</v>
      </c>
    </row>
    <row r="4" spans="1:27" x14ac:dyDescent="0.55000000000000004">
      <c r="B4" s="200" t="s">
        <v>0</v>
      </c>
      <c r="C4" s="202" t="e">
        <f>Quarts!#REF!</f>
        <v>#REF!</v>
      </c>
      <c r="D4" s="202" t="e">
        <f>Quarts!#REF!</f>
        <v>#REF!</v>
      </c>
      <c r="E4" s="202">
        <f>Quarts!Y3</f>
        <v>5800</v>
      </c>
      <c r="F4" s="202">
        <f>Quarts!Z3</f>
        <v>6800</v>
      </c>
      <c r="G4" s="202">
        <f>Quarts!AA3</f>
        <v>7966.9467687184588</v>
      </c>
      <c r="S4" s="202"/>
    </row>
    <row r="5" spans="1:27" x14ac:dyDescent="0.55000000000000004">
      <c r="B5" s="200" t="s">
        <v>1</v>
      </c>
      <c r="C5" s="202" t="e">
        <f>Quarts!#REF!</f>
        <v>#REF!</v>
      </c>
      <c r="D5" s="202" t="e">
        <f>Quarts!#REF!</f>
        <v>#REF!</v>
      </c>
      <c r="E5" s="202">
        <f>Quarts!Y35</f>
        <v>179</v>
      </c>
      <c r="F5" s="202">
        <f>Quarts!Z35</f>
        <v>203</v>
      </c>
      <c r="G5" s="202">
        <f>Quarts!AA35</f>
        <v>228.43371482889745</v>
      </c>
      <c r="S5" s="202"/>
    </row>
    <row r="6" spans="1:27" x14ac:dyDescent="0.55000000000000004">
      <c r="B6" s="200" t="s">
        <v>64</v>
      </c>
      <c r="C6" s="202" t="e">
        <f>Quarts!#REF!</f>
        <v>#REF!</v>
      </c>
      <c r="D6" s="202"/>
      <c r="E6" s="202"/>
      <c r="F6" s="202"/>
      <c r="G6" s="202"/>
      <c r="S6" s="202"/>
    </row>
    <row r="7" spans="1:27" x14ac:dyDescent="0.55000000000000004">
      <c r="B7" s="200" t="s">
        <v>75</v>
      </c>
      <c r="C7" s="202" t="e">
        <f>Quarts!#REF!</f>
        <v>#REF!</v>
      </c>
      <c r="D7" s="202"/>
      <c r="E7" s="202"/>
      <c r="F7" s="202"/>
      <c r="G7" s="202"/>
      <c r="S7" s="202"/>
    </row>
    <row r="8" spans="1:27" x14ac:dyDescent="0.55000000000000004">
      <c r="B8" s="200" t="s">
        <v>68</v>
      </c>
      <c r="C8" s="202" t="e">
        <f>Quarts!#REF!</f>
        <v>#REF!</v>
      </c>
      <c r="D8" s="202"/>
      <c r="E8" s="202"/>
      <c r="F8" s="202"/>
      <c r="G8" s="202"/>
      <c r="S8" s="202"/>
    </row>
    <row r="9" spans="1:27" x14ac:dyDescent="0.55000000000000004">
      <c r="B9" s="200" t="s">
        <v>74</v>
      </c>
      <c r="C9" s="202" t="e">
        <f>Quarts!#REF!</f>
        <v>#REF!</v>
      </c>
      <c r="D9" s="202"/>
      <c r="E9" s="202"/>
      <c r="F9" s="202"/>
      <c r="G9" s="202"/>
      <c r="S9" s="202"/>
    </row>
    <row r="10" spans="1:27" x14ac:dyDescent="0.55000000000000004">
      <c r="B10" s="200"/>
      <c r="C10" s="202"/>
      <c r="D10" s="202"/>
      <c r="E10" s="202"/>
      <c r="F10" s="202"/>
      <c r="G10" s="202"/>
      <c r="S10" s="202"/>
    </row>
    <row r="11" spans="1:27" x14ac:dyDescent="0.55000000000000004">
      <c r="B11" s="200" t="s">
        <v>105</v>
      </c>
      <c r="C11" s="202" t="e">
        <f>Quarts!#REF!</f>
        <v>#REF!</v>
      </c>
      <c r="D11" s="202" t="e">
        <f>Quarts!#REF!</f>
        <v>#REF!</v>
      </c>
      <c r="E11" s="202">
        <f>Quarts!Y79</f>
        <v>65.36</v>
      </c>
      <c r="F11" s="202">
        <f>Quarts!Z79</f>
        <v>74.3</v>
      </c>
      <c r="G11" s="202">
        <f>Quarts!AA79</f>
        <v>84.928750228136906</v>
      </c>
      <c r="S11" s="202"/>
    </row>
    <row r="12" spans="1:27" x14ac:dyDescent="0.55000000000000004">
      <c r="B12" s="200" t="s">
        <v>793</v>
      </c>
      <c r="C12" s="202" t="e">
        <f>Quarts!#REF!</f>
        <v>#REF!</v>
      </c>
      <c r="D12" s="202" t="e">
        <f>Quarts!#REF!</f>
        <v>#REF!</v>
      </c>
      <c r="E12" s="202">
        <f>Quarts!Y124</f>
        <v>41.36</v>
      </c>
      <c r="F12" s="202">
        <f>Quarts!Z124</f>
        <v>51.3</v>
      </c>
      <c r="G12" s="202">
        <f>Quarts!AA124</f>
        <v>66.158856394866945</v>
      </c>
      <c r="S12" s="202"/>
    </row>
    <row r="13" spans="1:27" x14ac:dyDescent="0.55000000000000004">
      <c r="B13" s="200" t="s">
        <v>794</v>
      </c>
      <c r="C13" s="202" t="e">
        <f>C11-C12</f>
        <v>#REF!</v>
      </c>
      <c r="D13" s="202" t="e">
        <f>D11-D12</f>
        <v>#REF!</v>
      </c>
      <c r="E13" s="202">
        <f>E11-E12</f>
        <v>24</v>
      </c>
      <c r="F13" s="202">
        <f>F11-F12</f>
        <v>23</v>
      </c>
      <c r="G13" s="202">
        <f>G11-G12</f>
        <v>18.769893833269961</v>
      </c>
      <c r="S13" s="202"/>
    </row>
    <row r="14" spans="1:27" ht="14.7" thickBot="1" x14ac:dyDescent="0.6">
      <c r="B14" s="201" t="s">
        <v>110</v>
      </c>
      <c r="C14" s="203" t="e">
        <f>Quarts!#REF!</f>
        <v>#REF!</v>
      </c>
      <c r="D14" s="203" t="e">
        <f>Quarts!#REF!</f>
        <v>#REF!</v>
      </c>
      <c r="E14" s="203">
        <f>Quarts!Y144</f>
        <v>27.088000000000001</v>
      </c>
      <c r="F14" s="203">
        <f>Quarts!Z144</f>
        <v>35.04</v>
      </c>
      <c r="G14" s="203">
        <f>Quarts!AA144</f>
        <v>50.745535106768067</v>
      </c>
      <c r="S14" s="202"/>
    </row>
    <row r="15" spans="1:27" x14ac:dyDescent="0.55000000000000004">
      <c r="H15" t="s">
        <v>1454</v>
      </c>
    </row>
    <row r="16" spans="1:27" x14ac:dyDescent="0.55000000000000004">
      <c r="A16" t="s">
        <v>548</v>
      </c>
      <c r="C16" s="221"/>
      <c r="H16" s="221">
        <v>45352</v>
      </c>
      <c r="I16" s="2"/>
      <c r="M16" s="221">
        <v>45270</v>
      </c>
      <c r="N16" s="2"/>
      <c r="R16" s="221">
        <v>45222</v>
      </c>
      <c r="S16" s="2"/>
      <c r="W16" s="221">
        <v>44994</v>
      </c>
      <c r="X16" s="2"/>
      <c r="AA16" s="10" t="s">
        <v>1044</v>
      </c>
    </row>
    <row r="17" spans="2:29" x14ac:dyDescent="0.55000000000000004">
      <c r="B17" s="22" t="s">
        <v>1352</v>
      </c>
      <c r="C17" s="198" t="s">
        <v>486</v>
      </c>
      <c r="H17" s="221" t="s">
        <v>222</v>
      </c>
      <c r="I17" s="2"/>
      <c r="M17" s="221" t="s">
        <v>222</v>
      </c>
      <c r="N17" s="2"/>
      <c r="R17" s="221" t="s">
        <v>222</v>
      </c>
      <c r="S17" s="2"/>
      <c r="W17" s="221" t="s">
        <v>222</v>
      </c>
      <c r="X17" s="2"/>
      <c r="AA17" s="221" t="s">
        <v>222</v>
      </c>
    </row>
    <row r="18" spans="2:29" x14ac:dyDescent="0.55000000000000004">
      <c r="C18" s="199" t="s">
        <v>791</v>
      </c>
      <c r="D18" s="199" t="s">
        <v>792</v>
      </c>
      <c r="E18" s="199" t="s">
        <v>1045</v>
      </c>
      <c r="F18" s="199" t="s">
        <v>1362</v>
      </c>
      <c r="H18" s="199" t="s">
        <v>791</v>
      </c>
      <c r="I18" s="199" t="s">
        <v>792</v>
      </c>
      <c r="J18" s="199" t="s">
        <v>1045</v>
      </c>
      <c r="K18" s="199" t="s">
        <v>1362</v>
      </c>
      <c r="M18" s="199" t="s">
        <v>791</v>
      </c>
      <c r="N18" s="199" t="s">
        <v>792</v>
      </c>
      <c r="O18" s="199" t="s">
        <v>1045</v>
      </c>
      <c r="P18" s="199" t="s">
        <v>1362</v>
      </c>
      <c r="R18" s="199" t="s">
        <v>791</v>
      </c>
      <c r="S18" s="199" t="s">
        <v>792</v>
      </c>
      <c r="T18" s="199" t="s">
        <v>1045</v>
      </c>
      <c r="U18" s="199" t="s">
        <v>1362</v>
      </c>
      <c r="W18" s="199" t="s">
        <v>791</v>
      </c>
      <c r="X18" s="199" t="s">
        <v>792</v>
      </c>
      <c r="Y18" s="199" t="s">
        <v>1045</v>
      </c>
      <c r="AA18" s="199" t="s">
        <v>790</v>
      </c>
      <c r="AB18" s="199" t="s">
        <v>791</v>
      </c>
      <c r="AC18" s="199" t="s">
        <v>792</v>
      </c>
    </row>
    <row r="19" spans="2:29" x14ac:dyDescent="0.55000000000000004">
      <c r="B19" s="200" t="s">
        <v>0</v>
      </c>
      <c r="C19" s="202">
        <f>Master!H43*1000</f>
        <v>17677</v>
      </c>
      <c r="D19" s="202">
        <f>Master!I43*1000</f>
        <v>25876.946768718459</v>
      </c>
      <c r="E19" s="202">
        <f>Master!J43*1000</f>
        <v>35822.434701840466</v>
      </c>
      <c r="F19" s="202">
        <f>Master!K43*1000</f>
        <v>46513.970674718657</v>
      </c>
      <c r="G19" s="2"/>
      <c r="H19" s="202">
        <v>17616</v>
      </c>
      <c r="I19" s="202">
        <v>25687</v>
      </c>
      <c r="J19" s="202">
        <v>35323</v>
      </c>
      <c r="K19" s="202">
        <v>47366</v>
      </c>
      <c r="L19" s="2">
        <f t="shared" ref="L19:L24" si="0">(K19/H19)^(1/3)-1</f>
        <v>0.39054955259471846</v>
      </c>
      <c r="M19" s="202">
        <v>17616</v>
      </c>
      <c r="N19" s="202">
        <v>25452</v>
      </c>
      <c r="O19" s="202">
        <v>34970</v>
      </c>
      <c r="P19" s="202">
        <v>48722</v>
      </c>
      <c r="Q19" s="2">
        <f t="shared" ref="Q19:Q24" si="1">(P19/M19)^(1/3)-1</f>
        <v>0.40369451192153072</v>
      </c>
      <c r="R19" s="202">
        <v>17764</v>
      </c>
      <c r="S19" s="202">
        <v>28846</v>
      </c>
      <c r="T19" s="202">
        <v>35454</v>
      </c>
      <c r="U19" s="202">
        <v>47887</v>
      </c>
      <c r="V19" s="2">
        <f t="shared" ref="V19:V24" si="2">(U19/R19)^(1/3)-1</f>
        <v>0.39174271057067633</v>
      </c>
      <c r="W19" s="202">
        <v>15870</v>
      </c>
      <c r="X19" s="202">
        <v>22830</v>
      </c>
      <c r="Y19" s="202">
        <v>32690</v>
      </c>
      <c r="AA19" s="202">
        <v>10520.334000000001</v>
      </c>
      <c r="AB19" s="202">
        <v>17385.954425316457</v>
      </c>
      <c r="AC19" s="202">
        <v>25816.257110769235</v>
      </c>
    </row>
    <row r="20" spans="2:29" x14ac:dyDescent="0.55000000000000004">
      <c r="B20" s="200" t="s">
        <v>1</v>
      </c>
      <c r="C20" s="202">
        <f>Master!H98</f>
        <v>650.4</v>
      </c>
      <c r="D20" s="202">
        <f>Master!I98</f>
        <v>794.83371482889743</v>
      </c>
      <c r="E20" s="202">
        <f>Master!J98</f>
        <v>999.13239999999996</v>
      </c>
      <c r="F20" s="202">
        <f>Master!K98</f>
        <v>1257.1456580882355</v>
      </c>
      <c r="G20" s="2"/>
      <c r="H20" s="202">
        <v>636</v>
      </c>
      <c r="I20" s="202">
        <v>882</v>
      </c>
      <c r="J20" s="202">
        <v>1170</v>
      </c>
      <c r="K20" s="202">
        <v>1494</v>
      </c>
      <c r="L20" s="2">
        <f t="shared" si="0"/>
        <v>0.32932496390279997</v>
      </c>
      <c r="M20" s="202">
        <v>636</v>
      </c>
      <c r="N20" s="202">
        <v>881</v>
      </c>
      <c r="O20" s="202">
        <v>1161</v>
      </c>
      <c r="P20" s="202">
        <v>1525</v>
      </c>
      <c r="Q20" s="2">
        <f t="shared" si="1"/>
        <v>0.33845644313757473</v>
      </c>
      <c r="R20" s="202">
        <v>646</v>
      </c>
      <c r="S20" s="202">
        <v>904</v>
      </c>
      <c r="T20" s="202">
        <v>1192</v>
      </c>
      <c r="U20" s="202">
        <v>1523</v>
      </c>
      <c r="V20" s="2">
        <f t="shared" si="2"/>
        <v>0.33093177951265229</v>
      </c>
      <c r="W20" s="202">
        <v>618.92329191919703</v>
      </c>
      <c r="X20" s="202">
        <v>874.96955515201751</v>
      </c>
      <c r="Y20" s="202">
        <v>1211.0513721021246</v>
      </c>
      <c r="AA20" s="202">
        <v>427.293026</v>
      </c>
      <c r="AB20" s="202">
        <v>667</v>
      </c>
      <c r="AC20" s="202">
        <v>981.33618206123992</v>
      </c>
    </row>
    <row r="21" spans="2:29" x14ac:dyDescent="0.55000000000000004">
      <c r="B21" s="200" t="s">
        <v>105</v>
      </c>
      <c r="C21" s="202">
        <f>Master!H195</f>
        <v>276.90799999999996</v>
      </c>
      <c r="D21" s="202">
        <f>Master!I195</f>
        <v>287.58875022813692</v>
      </c>
      <c r="E21" s="202">
        <f>Master!J195</f>
        <v>377.71537850000004</v>
      </c>
      <c r="F21" s="202">
        <f>Master!K195</f>
        <v>475.73018680147061</v>
      </c>
      <c r="G21" s="2"/>
      <c r="H21" s="355">
        <f>C21</f>
        <v>276.90799999999996</v>
      </c>
      <c r="I21" s="355">
        <v>349</v>
      </c>
      <c r="J21" s="355">
        <v>466</v>
      </c>
      <c r="K21" s="355">
        <v>596</v>
      </c>
      <c r="L21" s="2">
        <f t="shared" si="0"/>
        <v>0.29113083244454363</v>
      </c>
      <c r="M21" s="202">
        <v>283</v>
      </c>
      <c r="N21" s="202">
        <v>379</v>
      </c>
      <c r="O21" s="202">
        <v>496</v>
      </c>
      <c r="P21" s="202">
        <v>638</v>
      </c>
      <c r="Q21" s="2">
        <f t="shared" si="1"/>
        <v>0.31122759683669687</v>
      </c>
      <c r="R21" s="202">
        <v>284</v>
      </c>
      <c r="S21" s="202">
        <v>388</v>
      </c>
      <c r="T21" s="202">
        <v>498</v>
      </c>
      <c r="U21" s="202">
        <v>623</v>
      </c>
      <c r="V21" s="2">
        <f t="shared" si="2"/>
        <v>0.29934127807692001</v>
      </c>
      <c r="W21" s="202">
        <v>300.3920297352841</v>
      </c>
      <c r="X21" s="202">
        <v>427.67571513355188</v>
      </c>
      <c r="Y21" s="202">
        <v>589.53987020999853</v>
      </c>
      <c r="AA21" s="202">
        <v>209.146513</v>
      </c>
      <c r="AB21" s="202">
        <v>324.69517862858419</v>
      </c>
      <c r="AC21" s="202">
        <v>475.62176594133211</v>
      </c>
    </row>
    <row r="22" spans="2:29" x14ac:dyDescent="0.55000000000000004">
      <c r="B22" s="200" t="s">
        <v>793</v>
      </c>
      <c r="C22" s="202">
        <f>Master!H223</f>
        <v>202.3</v>
      </c>
      <c r="D22" s="202">
        <f>Master!I223</f>
        <v>195.61885639486695</v>
      </c>
      <c r="E22" s="202">
        <f>Master!J223</f>
        <v>274.67791873499999</v>
      </c>
      <c r="F22" s="202">
        <f>Master!K223</f>
        <v>344.26843262904413</v>
      </c>
      <c r="G22" s="2"/>
      <c r="H22" s="355">
        <f>C22</f>
        <v>202.3</v>
      </c>
      <c r="I22" s="355">
        <v>234</v>
      </c>
      <c r="J22" s="355">
        <v>323</v>
      </c>
      <c r="K22" s="355">
        <v>426</v>
      </c>
      <c r="L22" s="2">
        <f t="shared" si="0"/>
        <v>0.2817536773676661</v>
      </c>
      <c r="M22" s="202">
        <v>211</v>
      </c>
      <c r="N22" s="202">
        <f>N26*N21</f>
        <v>276.67</v>
      </c>
      <c r="O22" s="202">
        <v>372</v>
      </c>
      <c r="P22" s="202">
        <v>488</v>
      </c>
      <c r="Q22" s="2">
        <f t="shared" si="1"/>
        <v>0.32244957761850879</v>
      </c>
      <c r="R22" s="202">
        <v>211</v>
      </c>
      <c r="S22" s="202">
        <v>295</v>
      </c>
      <c r="T22" s="202">
        <v>384</v>
      </c>
      <c r="U22" s="202">
        <v>512</v>
      </c>
      <c r="V22" s="2">
        <f t="shared" si="2"/>
        <v>0.3437830803438775</v>
      </c>
      <c r="W22" s="202">
        <v>227.78653093199813</v>
      </c>
      <c r="X22" s="202">
        <v>332.32899297970772</v>
      </c>
      <c r="Y22" s="202">
        <v>480.34552464323559</v>
      </c>
      <c r="AA22" s="202">
        <v>159.593945211</v>
      </c>
      <c r="AB22" s="202">
        <v>248.54546313018301</v>
      </c>
      <c r="AC22" s="202">
        <v>361.62238308956688</v>
      </c>
    </row>
    <row r="23" spans="2:29" x14ac:dyDescent="0.55000000000000004">
      <c r="B23" s="200" t="s">
        <v>794</v>
      </c>
      <c r="C23" s="202">
        <f>C21-C22</f>
        <v>74.607999999999947</v>
      </c>
      <c r="D23" s="202">
        <f>D21-D22</f>
        <v>91.969893833269964</v>
      </c>
      <c r="E23" s="202">
        <f>E21-E22</f>
        <v>103.03745976500005</v>
      </c>
      <c r="F23" s="202">
        <f>F21-F22</f>
        <v>131.46175417242648</v>
      </c>
      <c r="G23" s="2"/>
      <c r="H23" s="202">
        <f>H21-H22</f>
        <v>74.607999999999947</v>
      </c>
      <c r="I23" s="202">
        <f>I21-I22</f>
        <v>115</v>
      </c>
      <c r="J23" s="202">
        <f>J21-J22</f>
        <v>143</v>
      </c>
      <c r="K23" s="202">
        <f>K21-K22</f>
        <v>170</v>
      </c>
      <c r="L23" s="2">
        <f t="shared" si="0"/>
        <v>0.31589481118073137</v>
      </c>
      <c r="M23" s="202">
        <f>M21-M22</f>
        <v>72</v>
      </c>
      <c r="N23" s="202">
        <f>N21-N22</f>
        <v>102.32999999999998</v>
      </c>
      <c r="O23" s="202">
        <f>O21-O22</f>
        <v>124</v>
      </c>
      <c r="P23" s="202">
        <f>P21-P22</f>
        <v>150</v>
      </c>
      <c r="Q23" s="2">
        <f t="shared" si="1"/>
        <v>0.27718238732258849</v>
      </c>
      <c r="R23" s="202">
        <f>R21-R22</f>
        <v>73</v>
      </c>
      <c r="S23" s="202">
        <f>S21-S22</f>
        <v>93</v>
      </c>
      <c r="T23" s="202">
        <f>T21-T22</f>
        <v>114</v>
      </c>
      <c r="U23" s="202">
        <f>U21-U22</f>
        <v>111</v>
      </c>
      <c r="V23" s="2">
        <f t="shared" si="2"/>
        <v>0.1499175606197789</v>
      </c>
      <c r="W23" s="202">
        <f>W21-W22</f>
        <v>72.605498803285968</v>
      </c>
      <c r="X23" s="202">
        <f>X21-X22</f>
        <v>95.346722153844155</v>
      </c>
      <c r="Y23" s="202">
        <f>Y21-Y22</f>
        <v>109.19434556676293</v>
      </c>
      <c r="AA23" s="202">
        <v>49.552567788999994</v>
      </c>
      <c r="AB23" s="202">
        <v>76.149715498401179</v>
      </c>
      <c r="AC23" s="202">
        <v>113.99938285176523</v>
      </c>
    </row>
    <row r="24" spans="2:29" x14ac:dyDescent="0.55000000000000004">
      <c r="B24" s="200" t="s">
        <v>110</v>
      </c>
      <c r="C24" s="202">
        <f>Master!H234</f>
        <v>149.29999999999998</v>
      </c>
      <c r="D24" s="202">
        <f>Master!I234</f>
        <v>130.59153510676808</v>
      </c>
      <c r="E24" s="202">
        <f>Master!J234</f>
        <v>195.43371984800001</v>
      </c>
      <c r="F24" s="202">
        <f>Master!K234</f>
        <v>247.18553863117648</v>
      </c>
      <c r="G24" s="2"/>
      <c r="H24" s="202">
        <v>164</v>
      </c>
      <c r="I24" s="202">
        <v>221</v>
      </c>
      <c r="J24" s="202">
        <v>292</v>
      </c>
      <c r="K24" s="202">
        <v>388</v>
      </c>
      <c r="L24" s="2">
        <f t="shared" si="0"/>
        <v>0.33248591138563444</v>
      </c>
      <c r="M24" s="202">
        <v>164</v>
      </c>
      <c r="N24" s="202">
        <v>221</v>
      </c>
      <c r="O24" s="202">
        <v>292</v>
      </c>
      <c r="P24" s="202">
        <v>388</v>
      </c>
      <c r="Q24" s="2">
        <f t="shared" si="1"/>
        <v>0.33248591138563444</v>
      </c>
      <c r="R24" s="202">
        <v>176</v>
      </c>
      <c r="S24" s="202">
        <v>243</v>
      </c>
      <c r="T24" s="202">
        <v>314</v>
      </c>
      <c r="U24" s="202">
        <v>412</v>
      </c>
      <c r="V24" s="2">
        <f t="shared" si="2"/>
        <v>0.32778629823809036</v>
      </c>
      <c r="W24" s="202">
        <v>186.00503324586569</v>
      </c>
      <c r="X24" s="202">
        <v>275.06998321725729</v>
      </c>
      <c r="Y24" s="202">
        <v>386.90209293557547</v>
      </c>
      <c r="AA24" s="202">
        <v>129.27779123779001</v>
      </c>
      <c r="AB24" s="202">
        <v>204.52981942651718</v>
      </c>
      <c r="AC24" s="202">
        <v>299.62531690902438</v>
      </c>
    </row>
    <row r="25" spans="2:29" x14ac:dyDescent="0.55000000000000004">
      <c r="B25" s="200" t="s">
        <v>1106</v>
      </c>
      <c r="C25" s="281">
        <f>C21/C19</f>
        <v>1.5664875261639417E-2</v>
      </c>
      <c r="D25" s="281">
        <f>D21/D19</f>
        <v>1.1113704904930698E-2</v>
      </c>
      <c r="E25" s="281">
        <f>E21/E19</f>
        <v>1.0544101249505354E-2</v>
      </c>
      <c r="F25" s="281">
        <f>F21/F19</f>
        <v>1.0227683852843812E-2</v>
      </c>
      <c r="H25" s="281">
        <f>H21/H19</f>
        <v>1.5719118982742957E-2</v>
      </c>
      <c r="I25" s="281">
        <f>I21/I19</f>
        <v>1.3586639155993304E-2</v>
      </c>
      <c r="J25" s="281">
        <f>J21/J19</f>
        <v>1.3192537440194774E-2</v>
      </c>
      <c r="K25" s="281">
        <f>K21/K19</f>
        <v>1.258286534645104E-2</v>
      </c>
      <c r="L25" s="2"/>
      <c r="M25" s="281">
        <f>M21/M19</f>
        <v>1.6064940962761128E-2</v>
      </c>
      <c r="N25" s="281">
        <f>N21/N19</f>
        <v>1.489077479176489E-2</v>
      </c>
      <c r="O25" s="281">
        <f>O21/O19</f>
        <v>1.4183585930797826E-2</v>
      </c>
      <c r="P25" s="281">
        <f>P21/P19</f>
        <v>1.30947005459546E-2</v>
      </c>
      <c r="Q25" s="2"/>
      <c r="R25" s="281">
        <f>R21/R19</f>
        <v>1.5987390227426256E-2</v>
      </c>
      <c r="S25" s="281">
        <f>S21/S19</f>
        <v>1.3450738403938154E-2</v>
      </c>
      <c r="T25" s="281">
        <f>T21/T19</f>
        <v>1.4046369944152986E-2</v>
      </c>
      <c r="U25" s="281">
        <f>U21/U19</f>
        <v>1.3009793889782196E-2</v>
      </c>
      <c r="V25" s="2"/>
      <c r="W25" s="202"/>
      <c r="X25" s="202"/>
      <c r="Y25" s="202"/>
      <c r="AA25" s="202"/>
      <c r="AB25" s="202"/>
      <c r="AC25" s="202"/>
    </row>
    <row r="26" spans="2:29" x14ac:dyDescent="0.55000000000000004">
      <c r="B26" s="200" t="s">
        <v>1363</v>
      </c>
      <c r="C26" s="280">
        <f>C22/C21</f>
        <v>0.73056755312233679</v>
      </c>
      <c r="D26" s="280">
        <f>D22/D21</f>
        <v>0.68020343716396225</v>
      </c>
      <c r="E26" s="280">
        <f>E22/E21</f>
        <v>0.72720872479646725</v>
      </c>
      <c r="F26" s="280">
        <f>F22/F21</f>
        <v>0.7236632069612865</v>
      </c>
      <c r="H26" s="280">
        <f>H22/H21</f>
        <v>0.73056755312233679</v>
      </c>
      <c r="I26" s="280">
        <f>I22/I21</f>
        <v>0.67048710601719197</v>
      </c>
      <c r="J26" s="280">
        <f>J22/J21</f>
        <v>0.69313304721030045</v>
      </c>
      <c r="K26" s="280">
        <f>K22/K21</f>
        <v>0.71476510067114096</v>
      </c>
      <c r="L26" s="2"/>
      <c r="M26" s="280">
        <f>M22/M21</f>
        <v>0.74558303886925792</v>
      </c>
      <c r="N26" s="337">
        <v>0.73</v>
      </c>
      <c r="O26" s="280">
        <f>O22/O21</f>
        <v>0.75</v>
      </c>
      <c r="P26" s="280">
        <f>P22/P21</f>
        <v>0.76489028213166144</v>
      </c>
      <c r="Q26" s="2"/>
      <c r="R26" s="280">
        <f>R22/R21</f>
        <v>0.74295774647887325</v>
      </c>
      <c r="S26" s="280">
        <f>S22/S21</f>
        <v>0.76030927835051543</v>
      </c>
      <c r="T26" s="280">
        <f>T22/T21</f>
        <v>0.77108433734939763</v>
      </c>
      <c r="U26" s="280">
        <f>U22/U21</f>
        <v>0.8218298555377207</v>
      </c>
      <c r="V26" s="2"/>
      <c r="W26" s="202"/>
      <c r="X26" s="202"/>
      <c r="Y26" s="202"/>
      <c r="AA26" s="202"/>
      <c r="AB26" s="202"/>
      <c r="AC26" s="202"/>
    </row>
    <row r="28" spans="2:29" x14ac:dyDescent="0.55000000000000004">
      <c r="B28" s="279" t="s">
        <v>343</v>
      </c>
    </row>
    <row r="29" spans="2:29" x14ac:dyDescent="0.55000000000000004">
      <c r="C29" s="199" t="s">
        <v>791</v>
      </c>
      <c r="D29" s="199" t="s">
        <v>792</v>
      </c>
      <c r="E29" s="199" t="s">
        <v>1045</v>
      </c>
      <c r="F29" s="199">
        <v>2026</v>
      </c>
    </row>
    <row r="30" spans="2:29" x14ac:dyDescent="0.55000000000000004">
      <c r="B30" t="str">
        <f t="shared" ref="B30:B35" si="3">B19</f>
        <v>TPV</v>
      </c>
      <c r="C30" s="2">
        <f t="shared" ref="C30:F35" si="4">C19/H19-1</f>
        <v>3.4627611262487701E-3</v>
      </c>
      <c r="D30" s="2">
        <f t="shared" si="4"/>
        <v>7.3946653450562838E-3</v>
      </c>
      <c r="E30" s="2">
        <f t="shared" si="4"/>
        <v>1.4139079405499633E-2</v>
      </c>
      <c r="F30" s="2">
        <f t="shared" si="4"/>
        <v>-1.7988205153091741E-2</v>
      </c>
    </row>
    <row r="31" spans="2:29" x14ac:dyDescent="0.55000000000000004">
      <c r="B31" t="str">
        <f t="shared" si="3"/>
        <v>Revenue</v>
      </c>
      <c r="C31" s="2">
        <f t="shared" si="4"/>
        <v>2.2641509433962259E-2</v>
      </c>
      <c r="D31" s="2">
        <f t="shared" si="4"/>
        <v>-9.8827987722338473E-2</v>
      </c>
      <c r="E31" s="2">
        <f t="shared" si="4"/>
        <v>-0.1460406837606838</v>
      </c>
      <c r="F31" s="2">
        <f t="shared" si="4"/>
        <v>-0.15853704277895886</v>
      </c>
    </row>
    <row r="32" spans="2:29" x14ac:dyDescent="0.55000000000000004">
      <c r="B32" t="str">
        <f t="shared" si="3"/>
        <v>Gross profit</v>
      </c>
      <c r="C32" s="2">
        <f t="shared" si="4"/>
        <v>0</v>
      </c>
      <c r="D32" s="2">
        <f t="shared" si="4"/>
        <v>-0.17596346639502314</v>
      </c>
      <c r="E32" s="2">
        <f t="shared" si="4"/>
        <v>-0.18945197746781106</v>
      </c>
      <c r="F32" s="2">
        <f t="shared" si="4"/>
        <v>-0.2017949885881366</v>
      </c>
    </row>
    <row r="33" spans="2:11" x14ac:dyDescent="0.55000000000000004">
      <c r="B33" t="str">
        <f t="shared" si="3"/>
        <v>Adj EBITDA</v>
      </c>
      <c r="C33" s="2">
        <f t="shared" si="4"/>
        <v>0</v>
      </c>
      <c r="D33" s="2">
        <f t="shared" si="4"/>
        <v>-0.1640219812185173</v>
      </c>
      <c r="E33" s="2">
        <f t="shared" si="4"/>
        <v>-0.14960396676470589</v>
      </c>
      <c r="F33" s="2">
        <f t="shared" si="4"/>
        <v>-0.19185813936844098</v>
      </c>
    </row>
    <row r="34" spans="2:11" x14ac:dyDescent="0.55000000000000004">
      <c r="B34" t="str">
        <f t="shared" si="3"/>
        <v>OPEX</v>
      </c>
      <c r="C34" s="2">
        <f t="shared" si="4"/>
        <v>0</v>
      </c>
      <c r="D34" s="2">
        <f t="shared" si="4"/>
        <v>-0.20026179275417422</v>
      </c>
      <c r="E34" s="2">
        <f t="shared" si="4"/>
        <v>-0.27945832332167797</v>
      </c>
      <c r="F34" s="2">
        <f t="shared" si="4"/>
        <v>-0.22669556369160893</v>
      </c>
    </row>
    <row r="35" spans="2:11" x14ac:dyDescent="0.55000000000000004">
      <c r="B35" t="str">
        <f t="shared" si="3"/>
        <v>Net income</v>
      </c>
      <c r="C35" s="2">
        <f t="shared" si="4"/>
        <v>-8.9634146341463494E-2</v>
      </c>
      <c r="D35" s="2">
        <f t="shared" si="4"/>
        <v>-0.40908807643996348</v>
      </c>
      <c r="E35" s="2">
        <f t="shared" si="4"/>
        <v>-0.33070643887671225</v>
      </c>
      <c r="F35" s="2">
        <f t="shared" si="4"/>
        <v>-0.36292386950727706</v>
      </c>
    </row>
    <row r="36" spans="2:11" x14ac:dyDescent="0.55000000000000004">
      <c r="C36" s="2"/>
      <c r="D36" s="2"/>
    </row>
    <row r="37" spans="2:11" x14ac:dyDescent="0.55000000000000004">
      <c r="H37" s="54"/>
    </row>
    <row r="38" spans="2:11" x14ac:dyDescent="0.55000000000000004">
      <c r="B38" s="1" t="s">
        <v>1091</v>
      </c>
      <c r="C38" s="5" t="s">
        <v>1084</v>
      </c>
      <c r="D38" s="5" t="s">
        <v>229</v>
      </c>
      <c r="E38" s="5" t="s">
        <v>783</v>
      </c>
      <c r="F38" s="5" t="s">
        <v>1409</v>
      </c>
      <c r="G38" s="5" t="s">
        <v>1410</v>
      </c>
    </row>
    <row r="39" spans="2:11" x14ac:dyDescent="0.55000000000000004">
      <c r="B39" s="226" t="s">
        <v>1</v>
      </c>
      <c r="C39" s="227" t="s">
        <v>1085</v>
      </c>
      <c r="D39" s="228">
        <f>Master!H98</f>
        <v>650.4</v>
      </c>
      <c r="E39" s="229">
        <v>631</v>
      </c>
      <c r="F39" s="230">
        <f>D39/630-1</f>
        <v>3.2380952380952399E-2</v>
      </c>
      <c r="G39" s="230">
        <f>E39/630-1</f>
        <v>1.5873015873015817E-3</v>
      </c>
      <c r="H39" s="2">
        <f>M20/R20-1</f>
        <v>-1.5479876160990669E-2</v>
      </c>
    </row>
    <row r="40" spans="2:11" x14ac:dyDescent="0.55000000000000004">
      <c r="B40" t="s">
        <v>219</v>
      </c>
      <c r="C40" t="s">
        <v>1086</v>
      </c>
      <c r="D40" s="2">
        <f>Master!H178</f>
        <v>1.4621532585342565</v>
      </c>
      <c r="E40" s="2"/>
      <c r="H40" t="s">
        <v>1095</v>
      </c>
    </row>
    <row r="41" spans="2:11" x14ac:dyDescent="0.55000000000000004">
      <c r="B41" s="226" t="s">
        <v>3</v>
      </c>
      <c r="C41" s="231" t="s">
        <v>1087</v>
      </c>
      <c r="D41" s="228">
        <f>Master!H223</f>
        <v>202.3</v>
      </c>
      <c r="E41" s="229">
        <v>207.7</v>
      </c>
      <c r="F41" s="230">
        <f>D41/210-1</f>
        <v>-3.6666666666666625E-2</v>
      </c>
      <c r="G41" s="230">
        <f>E41/210-1</f>
        <v>-1.0952380952381047E-2</v>
      </c>
      <c r="H41" s="2">
        <f>M22/R22-1</f>
        <v>0</v>
      </c>
    </row>
    <row r="42" spans="2:11" x14ac:dyDescent="0.55000000000000004">
      <c r="B42" s="14" t="s">
        <v>4</v>
      </c>
      <c r="C42" s="234" t="s">
        <v>1088</v>
      </c>
      <c r="D42" s="41">
        <f>D41/D39</f>
        <v>0.31103936039360397</v>
      </c>
      <c r="E42" s="41">
        <f>E41/E39</f>
        <v>0.32916006339144216</v>
      </c>
      <c r="F42" s="14"/>
      <c r="G42" s="14"/>
      <c r="J42" s="2">
        <f>200/640</f>
        <v>0.3125</v>
      </c>
      <c r="K42" s="2">
        <f>220/620</f>
        <v>0.35483870967741937</v>
      </c>
    </row>
    <row r="43" spans="2:11" x14ac:dyDescent="0.55000000000000004">
      <c r="B43" s="56" t="s">
        <v>1411</v>
      </c>
      <c r="C43" s="285"/>
      <c r="D43" s="3"/>
      <c r="E43" s="3"/>
      <c r="J43" s="2"/>
      <c r="K43" s="2"/>
    </row>
    <row r="45" spans="2:11" x14ac:dyDescent="0.55000000000000004">
      <c r="B45" s="22" t="s">
        <v>1353</v>
      </c>
    </row>
    <row r="46" spans="2:11" x14ac:dyDescent="0.55000000000000004">
      <c r="B46" s="1" t="s">
        <v>1092</v>
      </c>
      <c r="C46" s="5" t="s">
        <v>1084</v>
      </c>
      <c r="D46" s="5" t="s">
        <v>1242</v>
      </c>
    </row>
    <row r="47" spans="2:11" x14ac:dyDescent="0.55000000000000004">
      <c r="B47" s="226" t="s">
        <v>1090</v>
      </c>
      <c r="C47" s="231" t="s">
        <v>1089</v>
      </c>
      <c r="D47" s="232">
        <f>Quarts!S3/1000</f>
        <v>3.5739999999999998</v>
      </c>
    </row>
    <row r="48" spans="2:11" x14ac:dyDescent="0.55000000000000004">
      <c r="B48" t="s">
        <v>1</v>
      </c>
      <c r="C48" s="37" t="s">
        <v>1093</v>
      </c>
      <c r="D48" s="4">
        <f>Quarts!S35</f>
        <v>137.30000000000001</v>
      </c>
    </row>
    <row r="49" spans="2:8" x14ac:dyDescent="0.55000000000000004">
      <c r="B49" s="226" t="s">
        <v>105</v>
      </c>
      <c r="C49" s="231" t="s">
        <v>1094</v>
      </c>
      <c r="D49" s="233">
        <f>Quarts!S79</f>
        <v>61.800000000000004</v>
      </c>
    </row>
    <row r="50" spans="2:8" x14ac:dyDescent="0.55000000000000004">
      <c r="B50" t="s">
        <v>1106</v>
      </c>
      <c r="C50" s="225">
        <f>58/3550</f>
        <v>1.6338028169014085E-2</v>
      </c>
      <c r="D50" s="137">
        <f>D49/(D47*1000)</f>
        <v>1.7291550083939566E-2</v>
      </c>
    </row>
    <row r="51" spans="2:8" x14ac:dyDescent="0.55000000000000004">
      <c r="B51" s="235" t="s">
        <v>3</v>
      </c>
      <c r="C51" s="235"/>
      <c r="D51" s="236">
        <f>Quarts!S124</f>
        <v>45.5</v>
      </c>
    </row>
    <row r="54" spans="2:8" x14ac:dyDescent="0.55000000000000004">
      <c r="B54" s="1"/>
      <c r="C54" s="1">
        <v>2024</v>
      </c>
      <c r="D54" s="1">
        <f>C54+1</f>
        <v>2025</v>
      </c>
    </row>
    <row r="55" spans="2:8" x14ac:dyDescent="0.55000000000000004">
      <c r="B55" t="s">
        <v>105</v>
      </c>
      <c r="C55" s="2">
        <f>D32</f>
        <v>-0.17596346639502314</v>
      </c>
      <c r="D55" s="2">
        <f>E32</f>
        <v>-0.18945197746781106</v>
      </c>
    </row>
    <row r="56" spans="2:8" x14ac:dyDescent="0.55000000000000004">
      <c r="B56" t="s">
        <v>3</v>
      </c>
      <c r="C56" s="2">
        <f>D33</f>
        <v>-0.1640219812185173</v>
      </c>
      <c r="D56" s="2">
        <f>E33</f>
        <v>-0.14960396676470589</v>
      </c>
      <c r="F56" t="s">
        <v>1454</v>
      </c>
    </row>
    <row r="57" spans="2:8" x14ac:dyDescent="0.55000000000000004">
      <c r="C57" s="2"/>
      <c r="D57" s="2"/>
    </row>
    <row r="58" spans="2:8" x14ac:dyDescent="0.55000000000000004">
      <c r="D58" s="10">
        <v>2024</v>
      </c>
      <c r="E58" s="54"/>
      <c r="G58" s="54" t="s">
        <v>2133</v>
      </c>
      <c r="H58" s="54" t="s">
        <v>2135</v>
      </c>
    </row>
    <row r="59" spans="2:8" x14ac:dyDescent="0.55000000000000004">
      <c r="B59" s="1" t="s">
        <v>1797</v>
      </c>
      <c r="C59" s="5">
        <v>2023</v>
      </c>
      <c r="D59" s="5" t="s">
        <v>1084</v>
      </c>
      <c r="E59" s="5" t="s">
        <v>2127</v>
      </c>
      <c r="F59" s="5" t="s">
        <v>783</v>
      </c>
      <c r="G59" s="5" t="s">
        <v>2134</v>
      </c>
      <c r="H59" s="5" t="s">
        <v>2134</v>
      </c>
    </row>
    <row r="60" spans="2:8" x14ac:dyDescent="0.55000000000000004">
      <c r="B60" s="435" t="s">
        <v>0</v>
      </c>
      <c r="C60" s="436">
        <f>(Quarts!S3+Quarts!T3+Quarts!U3+Quarts!V3)/1000</f>
        <v>17.675999999999998</v>
      </c>
      <c r="D60" s="437" t="s">
        <v>1800</v>
      </c>
      <c r="E60" s="438">
        <f>Master!I43</f>
        <v>25.876946768718458</v>
      </c>
      <c r="F60" s="435">
        <v>25.4</v>
      </c>
      <c r="G60" s="439">
        <f>E60/26-1</f>
        <v>-4.7328165877515982E-3</v>
      </c>
      <c r="H60" s="439">
        <f>F60/26-1</f>
        <v>-2.3076923076923106E-2</v>
      </c>
    </row>
    <row r="61" spans="2:8" x14ac:dyDescent="0.55000000000000004">
      <c r="B61" t="s">
        <v>130</v>
      </c>
      <c r="C61" s="342"/>
      <c r="D61" s="342"/>
      <c r="E61" s="9">
        <f>Master!I98</f>
        <v>794.83371482889743</v>
      </c>
      <c r="F61" s="13">
        <v>868.2</v>
      </c>
      <c r="G61" s="2"/>
      <c r="H61" s="2"/>
    </row>
    <row r="62" spans="2:8" x14ac:dyDescent="0.55000000000000004">
      <c r="B62" s="435" t="s">
        <v>105</v>
      </c>
      <c r="C62" s="440">
        <f>Quarts!S79+Quarts!T79+Quarts!U79+Quarts!V79</f>
        <v>276.90000000000003</v>
      </c>
      <c r="D62" s="441" t="s">
        <v>1798</v>
      </c>
      <c r="E62" s="442">
        <f>Master!I195</f>
        <v>287.58875022813692</v>
      </c>
      <c r="F62" s="442">
        <v>315.3</v>
      </c>
      <c r="G62" s="439">
        <f>E62/340-1</f>
        <v>-0.15415073462312667</v>
      </c>
      <c r="H62" s="439">
        <f>F62/340-1</f>
        <v>-7.2647058823529398E-2</v>
      </c>
    </row>
    <row r="63" spans="2:8" x14ac:dyDescent="0.55000000000000004">
      <c r="B63" t="s">
        <v>1904</v>
      </c>
      <c r="C63" s="346">
        <f>C62/(C60*1000)</f>
        <v>1.5665308893414803E-2</v>
      </c>
      <c r="D63" s="346">
        <f>340/(26000)</f>
        <v>1.3076923076923076E-2</v>
      </c>
      <c r="E63" s="9"/>
      <c r="F63" s="9"/>
      <c r="G63" s="2"/>
      <c r="H63" s="2"/>
    </row>
    <row r="64" spans="2:8" x14ac:dyDescent="0.55000000000000004">
      <c r="B64" s="435" t="s">
        <v>3</v>
      </c>
      <c r="C64" s="443">
        <f>Quarts!S124+Quarts!T124+Quarts!U124+Quarts!V124</f>
        <v>202.3</v>
      </c>
      <c r="D64" s="437" t="s">
        <v>1799</v>
      </c>
      <c r="E64" s="442">
        <v>206.5</v>
      </c>
      <c r="F64" s="444">
        <v>233.6</v>
      </c>
      <c r="G64" s="439">
        <f>E64/240-1</f>
        <v>-0.13958333333333328</v>
      </c>
      <c r="H64" s="439">
        <f>F64/240-1</f>
        <v>-2.6666666666666727E-2</v>
      </c>
    </row>
    <row r="65" spans="2:8" x14ac:dyDescent="0.55000000000000004">
      <c r="B65" t="s">
        <v>1801</v>
      </c>
      <c r="C65" s="62">
        <f>C62-C64</f>
        <v>74.600000000000023</v>
      </c>
      <c r="D65" s="37">
        <f>340-240</f>
        <v>100</v>
      </c>
      <c r="E65" s="9">
        <f>E62-E64</f>
        <v>81.088750228136917</v>
      </c>
      <c r="F65" s="9">
        <f>F62-F64</f>
        <v>81.700000000000017</v>
      </c>
      <c r="G65" s="2"/>
      <c r="H65" s="2"/>
    </row>
    <row r="66" spans="2:8" x14ac:dyDescent="0.55000000000000004">
      <c r="B66" s="445" t="s">
        <v>1802</v>
      </c>
      <c r="C66" s="446">
        <f>C64/C62</f>
        <v>0.73058866016612489</v>
      </c>
      <c r="D66" s="447">
        <f>240/340</f>
        <v>0.70588235294117652</v>
      </c>
      <c r="E66" s="446">
        <f>E64/E62</f>
        <v>0.71803921341216836</v>
      </c>
      <c r="F66" s="446">
        <f>F64/F62</f>
        <v>0.74088169996828412</v>
      </c>
      <c r="G66" s="445"/>
      <c r="H66" s="445"/>
    </row>
    <row r="68" spans="2:8" x14ac:dyDescent="0.55000000000000004">
      <c r="B68" s="10" t="s">
        <v>1413</v>
      </c>
      <c r="F68" s="54" t="s">
        <v>229</v>
      </c>
      <c r="G68" s="54" t="s">
        <v>783</v>
      </c>
    </row>
    <row r="69" spans="2:8" x14ac:dyDescent="0.55000000000000004">
      <c r="B69" s="1" t="s">
        <v>1414</v>
      </c>
      <c r="C69" s="14"/>
      <c r="D69" s="5" t="s">
        <v>1412</v>
      </c>
      <c r="E69" s="14"/>
      <c r="F69" s="5" t="s">
        <v>2130</v>
      </c>
      <c r="G69" s="5" t="s">
        <v>1816</v>
      </c>
    </row>
    <row r="70" spans="2:8" x14ac:dyDescent="0.55000000000000004">
      <c r="B70" s="435" t="s">
        <v>1354</v>
      </c>
      <c r="C70" s="435"/>
      <c r="D70" s="435" t="s">
        <v>1355</v>
      </c>
      <c r="E70" s="435"/>
      <c r="F70" s="439">
        <f>(Master!L195/Master!I195)^(1/3)-1</f>
        <v>0.2607506258661878</v>
      </c>
      <c r="G70" s="439">
        <f>(K21/H21)^(1/3)-1</f>
        <v>0.29113083244454363</v>
      </c>
      <c r="H70" s="37"/>
    </row>
    <row r="71" spans="2:8" x14ac:dyDescent="0.55000000000000004">
      <c r="F71" s="54">
        <v>2027</v>
      </c>
      <c r="G71" s="54">
        <v>2026</v>
      </c>
      <c r="H71" s="37"/>
    </row>
    <row r="72" spans="2:8" x14ac:dyDescent="0.55000000000000004">
      <c r="B72" s="435" t="s">
        <v>1356</v>
      </c>
      <c r="C72" s="435"/>
      <c r="D72" s="435" t="s">
        <v>1357</v>
      </c>
      <c r="E72" s="435"/>
      <c r="F72" s="439">
        <f>Master!L225</f>
        <v>0.72127856601481777</v>
      </c>
      <c r="G72" s="439">
        <f>K26</f>
        <v>0.71476510067114096</v>
      </c>
      <c r="H72" s="37"/>
    </row>
    <row r="73" spans="2:8" x14ac:dyDescent="0.55000000000000004">
      <c r="B73" s="14" t="s">
        <v>1358</v>
      </c>
      <c r="C73" s="14"/>
      <c r="D73" s="14" t="s">
        <v>1359</v>
      </c>
      <c r="E73" s="14"/>
      <c r="F73" s="41">
        <f>Master!L268</f>
        <v>0.05</v>
      </c>
      <c r="G73" s="41">
        <v>0.05</v>
      </c>
      <c r="H73" s="3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7E309-5670-4C9D-B478-0374F58842A4}">
  <dimension ref="B1:R54"/>
  <sheetViews>
    <sheetView zoomScale="67" zoomScaleNormal="115" workbookViewId="0">
      <selection activeCell="J16" sqref="J16"/>
    </sheetView>
  </sheetViews>
  <sheetFormatPr defaultRowHeight="14.4" x14ac:dyDescent="0.55000000000000004"/>
  <cols>
    <col min="2" max="2" width="21.1015625" bestFit="1" customWidth="1"/>
  </cols>
  <sheetData>
    <row r="1" spans="2:18" x14ac:dyDescent="0.55000000000000004">
      <c r="G1" s="2"/>
    </row>
    <row r="2" spans="2:18" x14ac:dyDescent="0.55000000000000004">
      <c r="B2" t="s">
        <v>173</v>
      </c>
      <c r="C2" s="24">
        <v>8.3000000000000007</v>
      </c>
    </row>
    <row r="3" spans="2:18" x14ac:dyDescent="0.55000000000000004">
      <c r="F3" s="137"/>
      <c r="H3" s="3"/>
      <c r="J3" s="2" t="s">
        <v>548</v>
      </c>
    </row>
    <row r="4" spans="2:18" x14ac:dyDescent="0.55000000000000004">
      <c r="B4" s="1" t="s">
        <v>2</v>
      </c>
      <c r="C4" s="1"/>
      <c r="D4" s="1"/>
      <c r="E4" s="1">
        <v>2020</v>
      </c>
      <c r="F4" s="1">
        <f t="shared" ref="F4:O4" si="0">E4+1</f>
        <v>2021</v>
      </c>
      <c r="G4" s="1">
        <f t="shared" si="0"/>
        <v>2022</v>
      </c>
      <c r="H4" s="1">
        <f t="shared" si="0"/>
        <v>2023</v>
      </c>
      <c r="I4" s="1">
        <f t="shared" si="0"/>
        <v>2024</v>
      </c>
      <c r="J4" s="1">
        <f t="shared" si="0"/>
        <v>2025</v>
      </c>
      <c r="K4" s="1">
        <f t="shared" si="0"/>
        <v>2026</v>
      </c>
      <c r="L4" s="1">
        <f t="shared" si="0"/>
        <v>2027</v>
      </c>
      <c r="M4" s="1">
        <f t="shared" si="0"/>
        <v>2028</v>
      </c>
      <c r="N4" s="1">
        <f t="shared" si="0"/>
        <v>2029</v>
      </c>
      <c r="O4" s="1">
        <f t="shared" si="0"/>
        <v>2030</v>
      </c>
    </row>
    <row r="5" spans="2:18" x14ac:dyDescent="0.55000000000000004">
      <c r="B5" t="s">
        <v>175</v>
      </c>
      <c r="D5" s="13"/>
      <c r="E5" s="13">
        <f>Master!E243</f>
        <v>178.10476500000001</v>
      </c>
      <c r="F5" s="13">
        <f>Master!F243</f>
        <v>292.91576500000002</v>
      </c>
      <c r="G5" s="13">
        <f>Master!G243</f>
        <v>296.16399999999999</v>
      </c>
      <c r="H5" s="13">
        <f>Master!H243</f>
        <v>295.99099999999999</v>
      </c>
      <c r="I5" s="13">
        <f>Master!I243</f>
        <v>275.99099999999999</v>
      </c>
      <c r="J5" s="13">
        <f>Master!J243</f>
        <v>275.99099999999999</v>
      </c>
      <c r="K5" s="13">
        <f>Master!K243</f>
        <v>275.99099999999999</v>
      </c>
      <c r="L5" s="13">
        <f>Master!L243</f>
        <v>275.99099999999999</v>
      </c>
      <c r="M5" s="13">
        <f>Master!M243</f>
        <v>275.99099999999999</v>
      </c>
      <c r="N5" s="13">
        <f>Master!N243</f>
        <v>275.99099999999999</v>
      </c>
      <c r="O5" s="13">
        <f>Master!O243</f>
        <v>275.99099999999999</v>
      </c>
    </row>
    <row r="6" spans="2:18" x14ac:dyDescent="0.55000000000000004">
      <c r="B6" t="s">
        <v>150</v>
      </c>
      <c r="D6" s="13"/>
      <c r="E6" s="13">
        <f>E5*$C$2</f>
        <v>1478.2695495000003</v>
      </c>
      <c r="F6" s="13">
        <f t="shared" ref="F6:O6" si="1">F5*$C$2</f>
        <v>2431.2008495000005</v>
      </c>
      <c r="G6" s="13">
        <f t="shared" si="1"/>
        <v>2458.1612</v>
      </c>
      <c r="H6" s="13">
        <f t="shared" si="1"/>
        <v>2456.7253000000001</v>
      </c>
      <c r="I6" s="13">
        <f t="shared" si="1"/>
        <v>2290.7253000000001</v>
      </c>
      <c r="J6" s="13">
        <f t="shared" si="1"/>
        <v>2290.7253000000001</v>
      </c>
      <c r="K6" s="13">
        <f t="shared" si="1"/>
        <v>2290.7253000000001</v>
      </c>
      <c r="L6" s="13">
        <f t="shared" si="1"/>
        <v>2290.7253000000001</v>
      </c>
      <c r="M6" s="13">
        <f t="shared" si="1"/>
        <v>2290.7253000000001</v>
      </c>
      <c r="N6" s="13">
        <f t="shared" si="1"/>
        <v>2290.7253000000001</v>
      </c>
      <c r="O6" s="13">
        <f t="shared" si="1"/>
        <v>2290.7253000000001</v>
      </c>
    </row>
    <row r="7" spans="2:18" x14ac:dyDescent="0.55000000000000004">
      <c r="B7" t="s">
        <v>176</v>
      </c>
      <c r="D7" s="13"/>
      <c r="E7" s="13">
        <f>-Master!E309</f>
        <v>-41.668000000000006</v>
      </c>
      <c r="F7" s="13">
        <f>-Master!F309</f>
        <v>-250.00299999999999</v>
      </c>
      <c r="G7" s="13">
        <f>-Master!G309</f>
        <v>-300</v>
      </c>
      <c r="H7" s="13">
        <f>-Master!H309</f>
        <v>-296.5</v>
      </c>
      <c r="I7" s="13">
        <f>-Master!I309</f>
        <v>-240.09153510676811</v>
      </c>
      <c r="J7" s="13">
        <f>-Master!J309</f>
        <v>-442.02525495476812</v>
      </c>
      <c r="K7" s="13">
        <f>-Master!K309</f>
        <v>-695.71079358594443</v>
      </c>
      <c r="L7" s="13">
        <f>-Master!L309</f>
        <v>-1002.5047965195654</v>
      </c>
      <c r="M7" s="13">
        <f>-Master!M309</f>
        <v>-1358.9025112075883</v>
      </c>
      <c r="N7" s="13">
        <f>-Master!N309</f>
        <v>-1763.1035909325469</v>
      </c>
      <c r="O7" s="13">
        <f>-Master!O309</f>
        <v>-2223.4136956015759</v>
      </c>
    </row>
    <row r="8" spans="2:18" x14ac:dyDescent="0.55000000000000004">
      <c r="B8" s="14" t="s">
        <v>177</v>
      </c>
      <c r="C8" s="14"/>
      <c r="D8" s="35"/>
      <c r="E8" s="35">
        <f>Master!E277</f>
        <v>0</v>
      </c>
      <c r="F8" s="35">
        <f>Master!F277</f>
        <v>0</v>
      </c>
      <c r="G8" s="35">
        <f>Master!G277</f>
        <v>0</v>
      </c>
      <c r="H8" s="35">
        <f>Master!H277</f>
        <v>0</v>
      </c>
      <c r="I8" s="35">
        <f>Master!I277</f>
        <v>0</v>
      </c>
      <c r="J8" s="35">
        <f>Master!J277</f>
        <v>0</v>
      </c>
      <c r="K8" s="35">
        <f>Master!K277</f>
        <v>0</v>
      </c>
      <c r="L8" s="35">
        <f>Master!L277</f>
        <v>0</v>
      </c>
      <c r="M8" s="35">
        <f>Master!M277</f>
        <v>0</v>
      </c>
      <c r="N8" s="35">
        <f>Master!N277</f>
        <v>0</v>
      </c>
      <c r="O8" s="35">
        <f>Master!O277</f>
        <v>0</v>
      </c>
    </row>
    <row r="9" spans="2:18" x14ac:dyDescent="0.55000000000000004">
      <c r="B9" t="s">
        <v>178</v>
      </c>
      <c r="D9" s="13"/>
      <c r="E9" s="13">
        <f>E6+E7-E8</f>
        <v>1436.6015495000001</v>
      </c>
      <c r="F9" s="13">
        <f t="shared" ref="F9:O9" si="2">F6+F7-F8</f>
        <v>2181.1978495000003</v>
      </c>
      <c r="G9" s="13">
        <f t="shared" si="2"/>
        <v>2158.1612</v>
      </c>
      <c r="H9" s="13">
        <f t="shared" si="2"/>
        <v>2160.2253000000001</v>
      </c>
      <c r="I9" s="13">
        <f t="shared" si="2"/>
        <v>2050.6337648932322</v>
      </c>
      <c r="J9" s="13">
        <f t="shared" si="2"/>
        <v>1848.7000450452319</v>
      </c>
      <c r="K9" s="13">
        <f t="shared" si="2"/>
        <v>1595.0145064140556</v>
      </c>
      <c r="L9" s="13">
        <f t="shared" si="2"/>
        <v>1288.2205034804347</v>
      </c>
      <c r="M9" s="13">
        <f t="shared" si="2"/>
        <v>931.82278879241176</v>
      </c>
      <c r="N9" s="13">
        <f t="shared" si="2"/>
        <v>527.62170906745314</v>
      </c>
      <c r="O9" s="13">
        <f t="shared" si="2"/>
        <v>67.311604398424151</v>
      </c>
    </row>
    <row r="10" spans="2:18" x14ac:dyDescent="0.55000000000000004">
      <c r="D10" s="13"/>
      <c r="E10" s="13"/>
      <c r="F10" s="2"/>
      <c r="G10" s="2"/>
      <c r="H10" s="2"/>
      <c r="I10" s="2"/>
      <c r="J10" s="13"/>
      <c r="K10" s="13"/>
      <c r="L10" s="13"/>
      <c r="M10" s="13"/>
      <c r="N10" s="13"/>
      <c r="O10" s="13"/>
    </row>
    <row r="11" spans="2:18" x14ac:dyDescent="0.55000000000000004">
      <c r="B11" t="s">
        <v>368</v>
      </c>
      <c r="D11" s="13"/>
      <c r="E11" s="12">
        <f>E9/(Master!E43*1000)</f>
        <v>0.69602788250968994</v>
      </c>
      <c r="F11" s="12">
        <f>F9/(Master!F43*1000)</f>
        <v>0.36058817151595313</v>
      </c>
      <c r="G11" s="12">
        <f>G9/(Master!G43*1000)</f>
        <v>0.20423594208384593</v>
      </c>
      <c r="H11" s="12">
        <f>H9/(Master!H43*1000)</f>
        <v>0.12220542512869831</v>
      </c>
      <c r="I11" s="12">
        <f>I9/(Master!I43*1000)</f>
        <v>7.9245584234541769E-2</v>
      </c>
      <c r="J11" s="12">
        <f>J9/(Master!J43*1000)</f>
        <v>5.1607325421413927E-2</v>
      </c>
      <c r="K11" s="12">
        <f>K9/(Master!K43*1000)</f>
        <v>3.4291084662892053E-2</v>
      </c>
      <c r="L11" s="12">
        <f>L9/(Master!L43*1000)</f>
        <v>2.1708457867107886E-2</v>
      </c>
      <c r="M11" s="12">
        <f>M9/(Master!M43*1000)</f>
        <v>1.3047894750631317E-2</v>
      </c>
      <c r="N11" s="12">
        <f>N9/(Master!N43*1000)</f>
        <v>6.2358290036519763E-3</v>
      </c>
      <c r="O11" s="12">
        <f>O9/(Master!O43*1000)</f>
        <v>6.7523513942000229E-4</v>
      </c>
    </row>
    <row r="12" spans="2:18" x14ac:dyDescent="0.55000000000000004">
      <c r="B12" t="s">
        <v>187</v>
      </c>
      <c r="D12" s="4"/>
      <c r="E12" s="4">
        <f>E9/Master!E98</f>
        <v>13.813476437500002</v>
      </c>
      <c r="F12" s="4">
        <f>F9/Master!F98</f>
        <v>8.9356732875870559</v>
      </c>
      <c r="G12" s="4">
        <f>G9/Master!G98</f>
        <v>5.1519723084268323</v>
      </c>
      <c r="H12" s="4">
        <f>H9/Master!H98</f>
        <v>3.3213796125461257</v>
      </c>
      <c r="I12" s="4">
        <f>I9/Master!I98</f>
        <v>2.5799531733938448</v>
      </c>
      <c r="J12" s="4">
        <f>J9/Master!J98</f>
        <v>1.8503053699842302</v>
      </c>
      <c r="K12" s="4">
        <f>K9/Master!K98</f>
        <v>1.2687587123672077</v>
      </c>
      <c r="L12" s="4">
        <f>L9/Master!L98</f>
        <v>0.83668196834519781</v>
      </c>
      <c r="M12" s="4">
        <f>M9/Master!M98</f>
        <v>0.51841374677041197</v>
      </c>
      <c r="N12" s="4">
        <f>N9/Master!N98</f>
        <v>0.25779746709805812</v>
      </c>
      <c r="O12" s="4">
        <f>O9/Master!O98</f>
        <v>2.8763336263380734E-2</v>
      </c>
    </row>
    <row r="13" spans="2:18" x14ac:dyDescent="0.55000000000000004">
      <c r="B13" t="s">
        <v>188</v>
      </c>
      <c r="D13" s="4"/>
      <c r="E13" s="4">
        <f>E9/Master!E191</f>
        <v>23.042770863742081</v>
      </c>
      <c r="F13" s="4">
        <f>F9/Master!F191</f>
        <v>15.941631946880666</v>
      </c>
      <c r="G13" s="4">
        <f>G9/Master!G191</f>
        <v>10.14760035170705</v>
      </c>
      <c r="H13" s="4">
        <f>H9/Master!H191</f>
        <v>7.3233437747899854</v>
      </c>
      <c r="I13" s="4">
        <f>I9/Master!I191</f>
        <v>5.8148050204639237</v>
      </c>
      <c r="J13" s="4">
        <f>J9/Master!J191</f>
        <v>4.0797571772733683</v>
      </c>
      <c r="K13" s="4">
        <f>K9/Master!K191</f>
        <v>2.7974990220410745</v>
      </c>
      <c r="L13" s="4">
        <f>L9/Master!L191</f>
        <v>1.8448086033931912</v>
      </c>
      <c r="M13" s="4">
        <f>M9/Master!M191</f>
        <v>1.143055756359715</v>
      </c>
      <c r="N13" s="4">
        <f>N9/Master!N191</f>
        <v>0.56842026388604239</v>
      </c>
      <c r="O13" s="4">
        <f>O9/Master!O191</f>
        <v>6.3420573418027204E-2</v>
      </c>
    </row>
    <row r="14" spans="2:18" x14ac:dyDescent="0.55000000000000004">
      <c r="B14" t="s">
        <v>586</v>
      </c>
      <c r="D14" s="4"/>
      <c r="E14" s="4">
        <f>E9/Master!E195</f>
        <v>23.969325928088764</v>
      </c>
      <c r="F14" s="4">
        <f>F9/Master!F195</f>
        <v>16.724027583325029</v>
      </c>
      <c r="G14" s="4">
        <f>G9/Master!G195</f>
        <v>10.678679861454727</v>
      </c>
      <c r="H14" s="4">
        <f>H9/Master!H195</f>
        <v>7.8012383174195055</v>
      </c>
      <c r="I14" s="4">
        <f>I9/Master!I195</f>
        <v>7.1304380413577233</v>
      </c>
      <c r="J14" s="4">
        <f>J9/Master!J195</f>
        <v>4.8944262009846433</v>
      </c>
      <c r="K14" s="4">
        <f>K9/Master!K195</f>
        <v>3.3527712780599295</v>
      </c>
      <c r="L14" s="4">
        <f>L9/Master!L195</f>
        <v>2.2352738446378266</v>
      </c>
      <c r="M14" s="4">
        <f>M9/Master!M195</f>
        <v>1.3902390777406317</v>
      </c>
      <c r="N14" s="4">
        <f>N9/Master!N195</f>
        <v>0.69351136068232511</v>
      </c>
      <c r="O14" s="4">
        <f>O9/Master!O195</f>
        <v>7.7631591701239816E-2</v>
      </c>
    </row>
    <row r="15" spans="2:18" x14ac:dyDescent="0.55000000000000004">
      <c r="B15" t="s">
        <v>179</v>
      </c>
      <c r="D15" s="4"/>
      <c r="E15" s="4">
        <f>E9/Master!E223</f>
        <v>34.26108486561256</v>
      </c>
      <c r="F15" s="4">
        <f>F9/Master!F223</f>
        <v>21.987881547379036</v>
      </c>
      <c r="G15" s="4">
        <f>G9/Master!G223</f>
        <v>14.098717622080681</v>
      </c>
      <c r="H15" s="4">
        <f>H9/Master!H223</f>
        <v>10.678325753830944</v>
      </c>
      <c r="I15" s="4">
        <f>I9/Master!I223</f>
        <v>10.48280213209058</v>
      </c>
      <c r="J15" s="4">
        <f>J9/Master!J223</f>
        <v>6.7304283269628069</v>
      </c>
      <c r="K15" s="4">
        <f>K9/Master!K223</f>
        <v>4.6330547771503481</v>
      </c>
      <c r="L15" s="4">
        <f>L9/Master!L223</f>
        <v>3.0990437674975992</v>
      </c>
      <c r="M15" s="4">
        <f>M9/Master!M223</f>
        <v>1.9316986066073831</v>
      </c>
      <c r="N15" s="4">
        <f>N9/Master!N223</f>
        <v>0.96516244336188095</v>
      </c>
      <c r="O15" s="4">
        <f>O9/Master!O223</f>
        <v>0.10819785939915708</v>
      </c>
    </row>
    <row r="16" spans="2:18" x14ac:dyDescent="0.55000000000000004">
      <c r="B16" t="s">
        <v>180</v>
      </c>
      <c r="D16" s="13"/>
      <c r="E16" s="12">
        <f>E6/Master!E234</f>
        <v>52.445082821868255</v>
      </c>
      <c r="F16" s="12">
        <f>F6/Master!F234</f>
        <v>31.228094607786478</v>
      </c>
      <c r="G16" s="12">
        <f>G6/Master!G234</f>
        <v>22.403131493565674</v>
      </c>
      <c r="H16" s="12">
        <f>H6/Master!H234</f>
        <v>16.454958472873411</v>
      </c>
      <c r="I16" s="12">
        <f>I6/Master!I234</f>
        <v>17.541146890777917</v>
      </c>
      <c r="J16" s="12">
        <f>J6/Master!J234</f>
        <v>11.721238800456893</v>
      </c>
      <c r="K16" s="12">
        <f>K6/Master!K234</f>
        <v>9.2672302460945044</v>
      </c>
      <c r="L16" s="12">
        <f>L6/Master!L234</f>
        <v>7.6282752156937228</v>
      </c>
      <c r="M16" s="12">
        <f>M6/Master!M234</f>
        <v>6.5468427024236746</v>
      </c>
      <c r="N16" s="12">
        <f>N6/Master!N234</f>
        <v>5.7599172262348777</v>
      </c>
      <c r="O16" s="12">
        <f>O6/Master!O234</f>
        <v>5.0477617761963698</v>
      </c>
      <c r="Q16" s="12">
        <f>AVERAGE(J16,K16)</f>
        <v>10.494234523275699</v>
      </c>
      <c r="R16" s="187"/>
    </row>
    <row r="18" spans="2:16" x14ac:dyDescent="0.55000000000000004">
      <c r="B18" t="s">
        <v>150</v>
      </c>
      <c r="D18" s="13"/>
      <c r="E18" s="13">
        <f>Master!E304</f>
        <v>45</v>
      </c>
      <c r="F18" s="13">
        <f>Master!F304</f>
        <v>280.31900000000002</v>
      </c>
      <c r="G18" s="13">
        <f>Master!G304</f>
        <v>400</v>
      </c>
      <c r="H18" s="13">
        <f>Master!H304</f>
        <v>455</v>
      </c>
      <c r="I18" s="13">
        <f>Master!I304</f>
        <v>585.59153510676811</v>
      </c>
      <c r="J18" s="13">
        <f>Master!J304</f>
        <v>781.02525495476812</v>
      </c>
      <c r="K18" s="13">
        <f>Master!K304</f>
        <v>1028.2107935859447</v>
      </c>
      <c r="L18" s="13">
        <f>Master!L304</f>
        <v>1328.5047965195658</v>
      </c>
      <c r="M18" s="13">
        <f>Master!M304</f>
        <v>1678.4025112075883</v>
      </c>
      <c r="N18" s="13">
        <f>Master!N304</f>
        <v>2076.1035909325469</v>
      </c>
      <c r="O18" s="13">
        <f>Master!O304</f>
        <v>2529.9136956015764</v>
      </c>
    </row>
    <row r="19" spans="2:16" x14ac:dyDescent="0.55000000000000004">
      <c r="B19" s="6" t="s">
        <v>181</v>
      </c>
      <c r="D19" s="13"/>
      <c r="E19" s="13">
        <f>E7</f>
        <v>-41.668000000000006</v>
      </c>
      <c r="F19" s="13">
        <f t="shared" ref="F19:O19" si="3">F7</f>
        <v>-250.00299999999999</v>
      </c>
      <c r="G19" s="13">
        <f t="shared" si="3"/>
        <v>-300</v>
      </c>
      <c r="H19" s="13">
        <f t="shared" si="3"/>
        <v>-296.5</v>
      </c>
      <c r="I19" s="13">
        <f t="shared" si="3"/>
        <v>-240.09153510676811</v>
      </c>
      <c r="J19" s="13">
        <f t="shared" si="3"/>
        <v>-442.02525495476812</v>
      </c>
      <c r="K19" s="13">
        <f t="shared" si="3"/>
        <v>-695.71079358594443</v>
      </c>
      <c r="L19" s="13">
        <f t="shared" si="3"/>
        <v>-1002.5047965195654</v>
      </c>
      <c r="M19" s="13">
        <f t="shared" si="3"/>
        <v>-1358.9025112075883</v>
      </c>
      <c r="N19" s="13">
        <f t="shared" si="3"/>
        <v>-1763.1035909325469</v>
      </c>
      <c r="O19" s="13">
        <f t="shared" si="3"/>
        <v>-2223.4136956015759</v>
      </c>
    </row>
    <row r="20" spans="2:16" x14ac:dyDescent="0.55000000000000004">
      <c r="B20" s="36"/>
      <c r="C20" s="14"/>
      <c r="D20" s="35"/>
      <c r="E20" s="35"/>
      <c r="F20" s="35"/>
      <c r="G20" s="35"/>
      <c r="H20" s="35"/>
      <c r="I20" s="35"/>
      <c r="J20" s="35"/>
      <c r="K20" s="35"/>
      <c r="L20" s="35"/>
      <c r="M20" s="35"/>
      <c r="N20" s="35"/>
      <c r="O20" s="35"/>
    </row>
    <row r="21" spans="2:16" x14ac:dyDescent="0.55000000000000004">
      <c r="B21" t="s">
        <v>182</v>
      </c>
      <c r="D21" s="13"/>
      <c r="E21" s="13">
        <f t="shared" ref="E21:O21" si="4">SUM(E18:E20)</f>
        <v>3.3319999999999936</v>
      </c>
      <c r="F21" s="13">
        <f t="shared" si="4"/>
        <v>30.316000000000031</v>
      </c>
      <c r="G21" s="13">
        <f t="shared" si="4"/>
        <v>100</v>
      </c>
      <c r="H21" s="13">
        <f t="shared" si="4"/>
        <v>158.5</v>
      </c>
      <c r="I21" s="13">
        <f t="shared" si="4"/>
        <v>345.5</v>
      </c>
      <c r="J21" s="13">
        <f t="shared" si="4"/>
        <v>339</v>
      </c>
      <c r="K21" s="13">
        <f t="shared" si="4"/>
        <v>332.50000000000023</v>
      </c>
      <c r="L21" s="13">
        <f t="shared" si="4"/>
        <v>326.00000000000045</v>
      </c>
      <c r="M21" s="13">
        <f t="shared" si="4"/>
        <v>319.5</v>
      </c>
      <c r="N21" s="13">
        <f t="shared" si="4"/>
        <v>313</v>
      </c>
      <c r="O21" s="13">
        <f t="shared" si="4"/>
        <v>306.50000000000045</v>
      </c>
    </row>
    <row r="22" spans="2:16" x14ac:dyDescent="0.55000000000000004">
      <c r="D22" s="13"/>
      <c r="E22" s="13"/>
      <c r="F22" s="13"/>
      <c r="G22" s="13"/>
      <c r="H22" s="13"/>
      <c r="I22" s="13"/>
      <c r="J22" s="13"/>
      <c r="K22" s="13"/>
      <c r="L22" s="13"/>
      <c r="M22" s="13"/>
      <c r="N22" s="13"/>
      <c r="O22" s="13"/>
    </row>
    <row r="23" spans="2:16" x14ac:dyDescent="0.55000000000000004">
      <c r="B23" t="s">
        <v>183</v>
      </c>
      <c r="D23" s="13"/>
      <c r="E23" s="13">
        <f>Master!E210</f>
        <v>30.945</v>
      </c>
      <c r="F23" s="13">
        <f>Master!F210</f>
        <v>83.837999999999994</v>
      </c>
      <c r="G23" s="13">
        <f>Master!G210</f>
        <v>127.9</v>
      </c>
      <c r="H23" s="13">
        <f>Master!H210</f>
        <v>179.7</v>
      </c>
      <c r="I23" s="13">
        <f>Master!I210</f>
        <v>168.2394188834601</v>
      </c>
      <c r="J23" s="13">
        <f>Master!J210</f>
        <v>249.29214981000001</v>
      </c>
      <c r="K23" s="13">
        <f>Master!K210</f>
        <v>313.98192328897062</v>
      </c>
      <c r="L23" s="13">
        <f>Master!L210</f>
        <v>380.36750366702643</v>
      </c>
      <c r="M23" s="13">
        <f>Master!M210</f>
        <v>442.37214336002791</v>
      </c>
      <c r="N23" s="13">
        <f>Master!N210</f>
        <v>502.12634965619833</v>
      </c>
      <c r="O23" s="13">
        <f>Master!O210</f>
        <v>572.26263083628669</v>
      </c>
    </row>
    <row r="24" spans="2:16" x14ac:dyDescent="0.55000000000000004">
      <c r="B24" s="14" t="s">
        <v>184</v>
      </c>
      <c r="C24" s="14"/>
      <c r="D24" s="35"/>
      <c r="E24" s="35">
        <f>0.28*Master!E230</f>
        <v>8.7970400000000009</v>
      </c>
      <c r="F24" s="35">
        <f>0.28*Master!F230</f>
        <v>23.94</v>
      </c>
      <c r="G24" s="35">
        <f>0.28*Master!G230</f>
        <v>33.966800000000006</v>
      </c>
      <c r="H24" s="35">
        <f>0.28*Master!H230</f>
        <v>50.036000000000001</v>
      </c>
      <c r="I24" s="35">
        <f>0.28*Master!I230</f>
        <v>45.707037287368834</v>
      </c>
      <c r="J24" s="35">
        <f>0.28*Master!J230</f>
        <v>68.401801946800006</v>
      </c>
      <c r="K24" s="35">
        <f>0.28*Master!K230</f>
        <v>86.514938520911784</v>
      </c>
      <c r="L24" s="35">
        <f>0.28*Master!L230</f>
        <v>105.10290102676741</v>
      </c>
      <c r="M24" s="35">
        <f>0.28*Master!M230</f>
        <v>122.46420014080782</v>
      </c>
      <c r="N24" s="35">
        <f>0.28*Master!N230</f>
        <v>139.19537790373553</v>
      </c>
      <c r="O24" s="35">
        <f>0.28*Master!O230</f>
        <v>158.83353663416028</v>
      </c>
    </row>
    <row r="25" spans="2:16" x14ac:dyDescent="0.55000000000000004">
      <c r="B25" t="s">
        <v>185</v>
      </c>
      <c r="D25" s="13"/>
      <c r="E25" s="13">
        <f>E23-E24</f>
        <v>22.147959999999998</v>
      </c>
      <c r="F25" s="13">
        <f t="shared" ref="F25:O25" si="5">F23-F24</f>
        <v>59.897999999999996</v>
      </c>
      <c r="G25" s="13">
        <f t="shared" si="5"/>
        <v>93.933199999999999</v>
      </c>
      <c r="H25" s="13">
        <f t="shared" si="5"/>
        <v>129.66399999999999</v>
      </c>
      <c r="I25" s="13">
        <f t="shared" si="5"/>
        <v>122.53238159609127</v>
      </c>
      <c r="J25" s="13">
        <f t="shared" si="5"/>
        <v>180.89034786320002</v>
      </c>
      <c r="K25" s="13">
        <f t="shared" si="5"/>
        <v>227.46698476805884</v>
      </c>
      <c r="L25" s="13">
        <f t="shared" si="5"/>
        <v>275.264602640259</v>
      </c>
      <c r="M25" s="13">
        <f t="shared" si="5"/>
        <v>319.9079432192201</v>
      </c>
      <c r="N25" s="13">
        <f t="shared" si="5"/>
        <v>362.93097175246282</v>
      </c>
      <c r="O25" s="13">
        <f t="shared" si="5"/>
        <v>413.42909420212641</v>
      </c>
    </row>
    <row r="27" spans="2:16" x14ac:dyDescent="0.55000000000000004">
      <c r="B27" t="s">
        <v>363</v>
      </c>
      <c r="E27" s="9">
        <f>Master!E223-Master!E267</f>
        <v>38.030999999999999</v>
      </c>
      <c r="F27" s="9">
        <f>Master!F223-Master!F267</f>
        <v>51.2</v>
      </c>
      <c r="G27" s="9">
        <f>Master!G223-Master!G267</f>
        <v>140.67499999999998</v>
      </c>
      <c r="H27" s="9">
        <f>Master!H223-Master!H267</f>
        <v>184</v>
      </c>
      <c r="I27" s="9">
        <f>Master!I223-Master!I267</f>
        <v>181.2394188834601</v>
      </c>
      <c r="J27" s="9">
        <f>Master!J223-Master!J267</f>
        <v>255.79214980999998</v>
      </c>
      <c r="K27" s="9">
        <f>Master!K223-Master!K267</f>
        <v>320.48192328897062</v>
      </c>
      <c r="L27" s="9">
        <f>Master!L223-Master!L267</f>
        <v>386.86750366702648</v>
      </c>
      <c r="M27" s="9">
        <f>Master!M223-Master!M267</f>
        <v>448.87214336002791</v>
      </c>
      <c r="N27" s="9">
        <f>Master!N223-Master!N267</f>
        <v>508.62634965619839</v>
      </c>
      <c r="O27" s="9">
        <f>Master!O223-Master!O267</f>
        <v>578.76263083628669</v>
      </c>
    </row>
    <row r="28" spans="2:16" x14ac:dyDescent="0.55000000000000004">
      <c r="B28" t="s">
        <v>364</v>
      </c>
      <c r="E28" s="2">
        <f>Master!E232</f>
        <v>0.10283913680056019</v>
      </c>
      <c r="F28" s="2">
        <f>Master!F232</f>
        <v>8.9438596491228067E-2</v>
      </c>
      <c r="G28" s="2">
        <f>Master!G232</f>
        <v>9.550737779243261E-2</v>
      </c>
      <c r="H28" s="2">
        <f>Master!H232</f>
        <v>0.16452154448796866</v>
      </c>
      <c r="I28" s="2">
        <f>Master!I232</f>
        <v>0.2</v>
      </c>
      <c r="J28" s="2">
        <f>Master!J232</f>
        <v>0.2</v>
      </c>
      <c r="K28" s="2">
        <f>Master!K232</f>
        <v>0.2</v>
      </c>
      <c r="L28" s="2">
        <f>Master!L232</f>
        <v>0.2</v>
      </c>
      <c r="M28" s="2">
        <f>Master!M232</f>
        <v>0.2</v>
      </c>
      <c r="N28" s="2">
        <f>Master!N232</f>
        <v>0.2</v>
      </c>
      <c r="O28" s="2">
        <v>0.22</v>
      </c>
    </row>
    <row r="29" spans="2:16" x14ac:dyDescent="0.55000000000000004">
      <c r="B29" t="s">
        <v>362</v>
      </c>
      <c r="E29" s="9">
        <f>(1-E28)*E27</f>
        <v>34.11992478833789</v>
      </c>
      <c r="F29" s="9">
        <f t="shared" ref="F29:O29" si="6">(1-F28)*F27</f>
        <v>46.620743859649124</v>
      </c>
      <c r="G29" s="9">
        <f t="shared" si="6"/>
        <v>127.23949962904953</v>
      </c>
      <c r="H29" s="9">
        <f t="shared" si="6"/>
        <v>153.72803581421377</v>
      </c>
      <c r="I29" s="9">
        <f t="shared" si="6"/>
        <v>144.99153510676808</v>
      </c>
      <c r="J29" s="9">
        <f t="shared" si="6"/>
        <v>204.633719848</v>
      </c>
      <c r="K29" s="9">
        <f t="shared" si="6"/>
        <v>256.38553863117653</v>
      </c>
      <c r="L29" s="9">
        <f t="shared" si="6"/>
        <v>309.49400293362123</v>
      </c>
      <c r="M29" s="9">
        <f t="shared" si="6"/>
        <v>359.09771468802234</v>
      </c>
      <c r="N29" s="9">
        <f t="shared" si="6"/>
        <v>406.90107972495872</v>
      </c>
      <c r="O29" s="9">
        <f t="shared" si="6"/>
        <v>451.43485205230365</v>
      </c>
      <c r="P29" s="2"/>
    </row>
    <row r="31" spans="2:16" x14ac:dyDescent="0.55000000000000004">
      <c r="B31" t="s">
        <v>186</v>
      </c>
      <c r="D31" s="2"/>
      <c r="E31" s="2">
        <f>Master!E234/Master!E304</f>
        <v>0.6263777777777777</v>
      </c>
      <c r="F31" s="2">
        <f>Master!F234/Master!F304</f>
        <v>0.27773001473321463</v>
      </c>
      <c r="G31" s="2">
        <f>Master!G234/Master!G304</f>
        <v>0.27431</v>
      </c>
      <c r="H31" s="2">
        <f>Master!H234/Master!H304</f>
        <v>0.32813186813186812</v>
      </c>
      <c r="I31" s="2">
        <f>Master!I234/Master!I304</f>
        <v>0.22300789420215569</v>
      </c>
      <c r="J31" s="2">
        <f>Master!J234/Master!J304</f>
        <v>0.25022714516359429</v>
      </c>
      <c r="K31" s="2">
        <f>Master!K234/Master!K304</f>
        <v>0.24040356332878263</v>
      </c>
      <c r="L31" s="2">
        <f>Master!L234/Master!L304</f>
        <v>0.22603908071716058</v>
      </c>
      <c r="M31" s="2">
        <f>Master!M234/Master!M304</f>
        <v>0.20847068110990585</v>
      </c>
      <c r="N31" s="2">
        <f>Master!N234/Master!N304</f>
        <v>0.19156128887880725</v>
      </c>
      <c r="O31" s="2">
        <f>Master!O234/Master!O304</f>
        <v>0.17937770187892513</v>
      </c>
    </row>
    <row r="33" spans="2:9" x14ac:dyDescent="0.55000000000000004">
      <c r="B33" t="s">
        <v>357</v>
      </c>
    </row>
    <row r="35" spans="2:9" x14ac:dyDescent="0.55000000000000004">
      <c r="B35" t="s">
        <v>358</v>
      </c>
      <c r="C35" s="81">
        <v>0.13</v>
      </c>
    </row>
    <row r="36" spans="2:9" x14ac:dyDescent="0.55000000000000004">
      <c r="B36" t="s">
        <v>359</v>
      </c>
      <c r="C36" s="15">
        <v>0.04</v>
      </c>
    </row>
    <row r="37" spans="2:9" x14ac:dyDescent="0.55000000000000004">
      <c r="B37" t="s">
        <v>360</v>
      </c>
      <c r="C37" s="4">
        <f>1/(C35-C36)</f>
        <v>11.111111111111111</v>
      </c>
    </row>
    <row r="39" spans="2:9" x14ac:dyDescent="0.55000000000000004">
      <c r="B39" t="s">
        <v>361</v>
      </c>
      <c r="C39" s="13">
        <f>NPV(C35,J29:O29)</f>
        <v>1254.2976215216511</v>
      </c>
    </row>
    <row r="40" spans="2:9" x14ac:dyDescent="0.55000000000000004">
      <c r="B40" t="s">
        <v>365</v>
      </c>
      <c r="C40" s="13">
        <f>C37*O29</f>
        <v>5015.9428005811515</v>
      </c>
    </row>
    <row r="41" spans="2:9" x14ac:dyDescent="0.55000000000000004">
      <c r="B41" t="s">
        <v>366</v>
      </c>
      <c r="C41" s="13">
        <f>C40/(1+C35)^6</f>
        <v>2409.2502596640011</v>
      </c>
    </row>
    <row r="42" spans="2:9" x14ac:dyDescent="0.55000000000000004">
      <c r="B42" t="s">
        <v>178</v>
      </c>
      <c r="C42" s="13">
        <f>C39+C41</f>
        <v>3663.5478811856519</v>
      </c>
    </row>
    <row r="43" spans="2:9" x14ac:dyDescent="0.55000000000000004">
      <c r="B43" t="s">
        <v>309</v>
      </c>
      <c r="C43" s="13">
        <f>-H7</f>
        <v>296.5</v>
      </c>
    </row>
    <row r="44" spans="2:9" x14ac:dyDescent="0.55000000000000004">
      <c r="B44" t="s">
        <v>150</v>
      </c>
      <c r="C44" s="13">
        <f>C42+C43</f>
        <v>3960.0478811856519</v>
      </c>
    </row>
    <row r="45" spans="2:9" x14ac:dyDescent="0.55000000000000004">
      <c r="B45" t="s">
        <v>166</v>
      </c>
      <c r="C45" s="13">
        <f>F5</f>
        <v>292.91576500000002</v>
      </c>
    </row>
    <row r="46" spans="2:9" x14ac:dyDescent="0.55000000000000004">
      <c r="B46" t="s">
        <v>367</v>
      </c>
      <c r="C46" s="4">
        <f>C44/C45</f>
        <v>13.519408493379151</v>
      </c>
    </row>
    <row r="47" spans="2:9" x14ac:dyDescent="0.55000000000000004">
      <c r="B47" t="s">
        <v>402</v>
      </c>
      <c r="C47" s="2">
        <f>C46/C2-1</f>
        <v>0.62884439679266868</v>
      </c>
    </row>
    <row r="48" spans="2:9" x14ac:dyDescent="0.55000000000000004">
      <c r="E48" s="469" t="s">
        <v>358</v>
      </c>
      <c r="F48" s="469"/>
      <c r="G48" s="469"/>
      <c r="H48" s="469"/>
      <c r="I48" s="469"/>
    </row>
    <row r="49" spans="3:9" x14ac:dyDescent="0.55000000000000004">
      <c r="D49" s="96">
        <f>C46</f>
        <v>13.519408493379151</v>
      </c>
      <c r="E49" s="97">
        <f>F49+0.5%</f>
        <v>0.1</v>
      </c>
      <c r="F49" s="97">
        <f>G49+0.5%</f>
        <v>9.5000000000000001E-2</v>
      </c>
      <c r="G49" s="97">
        <v>0.09</v>
      </c>
      <c r="H49" s="97">
        <f>G49-0.5%</f>
        <v>8.4999999999999992E-2</v>
      </c>
      <c r="I49" s="97">
        <f>H49-0.5%</f>
        <v>7.9999999999999988E-2</v>
      </c>
    </row>
    <row r="50" spans="3:9" ht="16.95" customHeight="1" x14ac:dyDescent="0.55000000000000004">
      <c r="C50" s="470" t="s">
        <v>360</v>
      </c>
      <c r="D50" s="98">
        <f>D51-0.5%</f>
        <v>4.2000000000000003E-2</v>
      </c>
      <c r="E50" s="93"/>
      <c r="F50" s="93"/>
      <c r="G50" s="93"/>
      <c r="H50" s="93"/>
      <c r="I50" s="93"/>
    </row>
    <row r="51" spans="3:9" ht="16.95" customHeight="1" thickBot="1" x14ac:dyDescent="0.6">
      <c r="C51" s="470"/>
      <c r="D51" s="98">
        <f>D52-0.5%</f>
        <v>4.7E-2</v>
      </c>
      <c r="E51" s="93"/>
      <c r="F51" s="94"/>
      <c r="G51" s="94"/>
      <c r="H51" s="94"/>
      <c r="I51" s="93"/>
    </row>
    <row r="52" spans="3:9" ht="16.95" customHeight="1" thickBot="1" x14ac:dyDescent="0.6">
      <c r="C52" s="470"/>
      <c r="D52" s="98">
        <v>5.1999999999999998E-2</v>
      </c>
      <c r="E52" s="93"/>
      <c r="F52" s="94"/>
      <c r="G52" s="95"/>
      <c r="H52" s="94"/>
      <c r="I52" s="93"/>
    </row>
    <row r="53" spans="3:9" ht="16.95" customHeight="1" x14ac:dyDescent="0.55000000000000004">
      <c r="C53" s="470"/>
      <c r="D53" s="98">
        <f>D52+0.5%</f>
        <v>5.6999999999999995E-2</v>
      </c>
      <c r="E53" s="93"/>
      <c r="F53" s="94"/>
      <c r="G53" s="94"/>
      <c r="H53" s="94"/>
      <c r="I53" s="93"/>
    </row>
    <row r="54" spans="3:9" ht="16.95" customHeight="1" x14ac:dyDescent="0.55000000000000004">
      <c r="C54" s="470"/>
      <c r="D54" s="98">
        <f>D53+0.5%</f>
        <v>6.1999999999999993E-2</v>
      </c>
      <c r="E54" s="93"/>
      <c r="F54" s="93"/>
      <c r="G54" s="93"/>
      <c r="H54" s="93"/>
      <c r="I54" s="93"/>
    </row>
  </sheetData>
  <mergeCells count="2">
    <mergeCell ref="E48:I48"/>
    <mergeCell ref="C50:C5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4DCFC-B04D-46BD-B0BB-848FB38E9C61}">
  <dimension ref="B2:W277"/>
  <sheetViews>
    <sheetView showGridLines="0" topLeftCell="A2" zoomScale="93" zoomScaleNormal="115" workbookViewId="0">
      <selection activeCell="B3" sqref="B3"/>
    </sheetView>
  </sheetViews>
  <sheetFormatPr defaultRowHeight="14.4" outlineLevelCol="1" x14ac:dyDescent="0.55000000000000004"/>
  <cols>
    <col min="2" max="2" width="22.41796875" customWidth="1"/>
    <col min="3" max="5" width="6.7890625" hidden="1" customWidth="1" outlineLevel="1"/>
    <col min="6" max="6" width="6.83984375" hidden="1" customWidth="1" outlineLevel="1"/>
    <col min="7" max="7" width="6.9453125" hidden="1" customWidth="1" outlineLevel="1"/>
    <col min="8" max="8" width="6.9453125" customWidth="1" collapsed="1"/>
    <col min="9" max="11" width="6.9453125" customWidth="1"/>
    <col min="12" max="12" width="6.9453125" hidden="1" customWidth="1" outlineLevel="1"/>
    <col min="13" max="13" width="6.9453125" customWidth="1" collapsed="1"/>
    <col min="14" max="14" width="6.9453125" hidden="1" customWidth="1" outlineLevel="1"/>
    <col min="15" max="15" width="6.9453125" customWidth="1" collapsed="1"/>
    <col min="16" max="16" width="6.9453125" customWidth="1"/>
    <col min="17" max="17" width="7.83984375" customWidth="1"/>
    <col min="21" max="21" width="11.7890625" customWidth="1"/>
  </cols>
  <sheetData>
    <row r="2" spans="2:16" x14ac:dyDescent="0.55000000000000004">
      <c r="B2" s="22" t="s">
        <v>624</v>
      </c>
      <c r="J2" s="2"/>
    </row>
    <row r="3" spans="2:16" x14ac:dyDescent="0.55000000000000004">
      <c r="B3" s="22"/>
      <c r="M3" s="54" t="s">
        <v>229</v>
      </c>
      <c r="O3" s="54" t="s">
        <v>783</v>
      </c>
    </row>
    <row r="4" spans="2:16" ht="14.7" thickBot="1" x14ac:dyDescent="0.6">
      <c r="B4" s="366" t="s">
        <v>325</v>
      </c>
      <c r="C4" s="239" t="s">
        <v>785</v>
      </c>
      <c r="D4" s="239" t="s">
        <v>835</v>
      </c>
      <c r="E4" s="239" t="s">
        <v>845</v>
      </c>
      <c r="F4" s="239" t="s">
        <v>1078</v>
      </c>
      <c r="G4" s="239" t="s">
        <v>1240</v>
      </c>
      <c r="H4" s="239" t="s">
        <v>1293</v>
      </c>
      <c r="I4" s="239" t="s">
        <v>1457</v>
      </c>
      <c r="J4" s="239" t="s">
        <v>1775</v>
      </c>
      <c r="K4" s="239" t="s">
        <v>1914</v>
      </c>
      <c r="L4" s="239" t="s">
        <v>2131</v>
      </c>
      <c r="M4" s="239" t="s">
        <v>2132</v>
      </c>
      <c r="N4" s="239" t="s">
        <v>786</v>
      </c>
      <c r="O4" s="239" t="s">
        <v>2132</v>
      </c>
      <c r="P4" s="239" t="s">
        <v>786</v>
      </c>
    </row>
    <row r="5" spans="2:16" ht="14.7" thickBot="1" x14ac:dyDescent="0.6">
      <c r="B5" s="448" t="s">
        <v>0</v>
      </c>
      <c r="C5" s="449">
        <f>Quarts!O3</f>
        <v>2104</v>
      </c>
      <c r="D5" s="449">
        <f>Quarts!P3</f>
        <v>2433</v>
      </c>
      <c r="E5" s="449">
        <f>Quarts!Q3</f>
        <v>2734</v>
      </c>
      <c r="F5" s="449">
        <f>Quarts!R3</f>
        <v>3296</v>
      </c>
      <c r="G5" s="449">
        <f>Quarts!S3</f>
        <v>3574</v>
      </c>
      <c r="H5" s="449">
        <f>Quarts!T3</f>
        <v>4373</v>
      </c>
      <c r="I5" s="449">
        <f>Quarts!U3</f>
        <v>4618</v>
      </c>
      <c r="J5" s="449">
        <f>Quarts!V3</f>
        <v>5111</v>
      </c>
      <c r="K5" s="449">
        <f>Quarts!W3</f>
        <v>5310</v>
      </c>
      <c r="L5" s="449">
        <f>Quarts!X3</f>
        <v>0</v>
      </c>
      <c r="M5" s="450">
        <f>Quarts!Y3</f>
        <v>5800</v>
      </c>
      <c r="N5" s="451">
        <f>L5/M5-1</f>
        <v>-1</v>
      </c>
      <c r="O5" s="449">
        <v>6050</v>
      </c>
      <c r="P5" s="451">
        <f>M5/O5-1</f>
        <v>-4.132231404958675E-2</v>
      </c>
    </row>
    <row r="6" spans="2:16" x14ac:dyDescent="0.55000000000000004">
      <c r="B6" s="68" t="s">
        <v>631</v>
      </c>
      <c r="C6" s="145">
        <f>Quarts!O46</f>
        <v>4.1587452471482891E-2</v>
      </c>
      <c r="D6" s="145">
        <f>Quarts!P46</f>
        <v>4.1594739005343197E-2</v>
      </c>
      <c r="E6" s="145">
        <f>Quarts!Q46</f>
        <v>4.0929041697147041E-2</v>
      </c>
      <c r="F6" s="145">
        <f>Quarts!R46</f>
        <v>3.5922330097087382E-2</v>
      </c>
      <c r="G6" s="145">
        <f>Quarts!S46</f>
        <v>3.841634023503078E-2</v>
      </c>
      <c r="H6" s="145">
        <f>Quarts!T46</f>
        <v>3.683969814772467E-2</v>
      </c>
      <c r="I6" s="145">
        <f>Quarts!U46</f>
        <v>3.5491554785621479E-2</v>
      </c>
      <c r="J6" s="145">
        <f>Quarts!V46</f>
        <v>3.6783408334963803E-2</v>
      </c>
      <c r="K6" s="145">
        <f>Quarts!W46</f>
        <v>3.4726930320150659E-2</v>
      </c>
      <c r="L6" s="145">
        <f>Quarts!X46</f>
        <v>0</v>
      </c>
      <c r="M6" s="288">
        <f>Quarts!Y46</f>
        <v>3.0862068965517242E-2</v>
      </c>
      <c r="N6" s="79"/>
      <c r="O6" s="145">
        <f>O7/O5</f>
        <v>3.4297520661157023E-2</v>
      </c>
      <c r="P6" s="79"/>
    </row>
    <row r="7" spans="2:16" x14ac:dyDescent="0.55000000000000004">
      <c r="B7" s="452" t="s">
        <v>1</v>
      </c>
      <c r="C7" s="453">
        <f>Quarts!O35</f>
        <v>87.5</v>
      </c>
      <c r="D7" s="453">
        <f>Quarts!P35</f>
        <v>101.2</v>
      </c>
      <c r="E7" s="453">
        <f>Quarts!Q35</f>
        <v>111.9</v>
      </c>
      <c r="F7" s="453">
        <f>Quarts!R35</f>
        <v>118.4</v>
      </c>
      <c r="G7" s="453">
        <f>Quarts!S35</f>
        <v>137.30000000000001</v>
      </c>
      <c r="H7" s="453">
        <f>Quarts!T35</f>
        <v>161.1</v>
      </c>
      <c r="I7" s="453">
        <f>Quarts!U35</f>
        <v>163.9</v>
      </c>
      <c r="J7" s="453">
        <f>Quarts!V35</f>
        <v>188</v>
      </c>
      <c r="K7" s="453">
        <f>Quarts!W35</f>
        <v>184.4</v>
      </c>
      <c r="L7" s="453">
        <f>Quarts!X35</f>
        <v>0</v>
      </c>
      <c r="M7" s="454">
        <f>Quarts!Y35</f>
        <v>179</v>
      </c>
      <c r="N7" s="455">
        <f>L7/M7-1</f>
        <v>-1</v>
      </c>
      <c r="O7" s="453">
        <v>207.5</v>
      </c>
      <c r="P7" s="455">
        <f>M7/O7-1</f>
        <v>-0.13734939759036147</v>
      </c>
    </row>
    <row r="8" spans="2:16" x14ac:dyDescent="0.55000000000000004">
      <c r="B8" s="68" t="s">
        <v>64</v>
      </c>
      <c r="C8" s="69">
        <f>Quarts!O24</f>
        <v>18.100000000000001</v>
      </c>
      <c r="D8" s="69">
        <f>Quarts!P24</f>
        <v>20.7</v>
      </c>
      <c r="E8" s="69">
        <f>Quarts!Q24</f>
        <v>21.8</v>
      </c>
      <c r="F8" s="69">
        <f>Quarts!R24</f>
        <v>23.4</v>
      </c>
      <c r="G8" s="69">
        <f>Quarts!S24</f>
        <v>22.8</v>
      </c>
      <c r="H8" s="69">
        <f>Quarts!T24</f>
        <v>41.2</v>
      </c>
      <c r="I8" s="69">
        <f>Quarts!U24</f>
        <v>44.7</v>
      </c>
      <c r="J8" s="69">
        <f>Quarts!V24</f>
        <v>50.2</v>
      </c>
      <c r="K8" s="69">
        <f>Quarts!W24</f>
        <v>43.1</v>
      </c>
      <c r="L8" s="69">
        <f>Quarts!X24</f>
        <v>0</v>
      </c>
      <c r="M8" s="340">
        <f>Quarts!Y24</f>
        <v>50</v>
      </c>
      <c r="N8" s="79">
        <f>L8/M8-1</f>
        <v>-1</v>
      </c>
      <c r="O8" s="69">
        <v>49.5</v>
      </c>
      <c r="P8" s="79">
        <f>M8/O8-1</f>
        <v>1.0101010101010166E-2</v>
      </c>
    </row>
    <row r="9" spans="2:16" x14ac:dyDescent="0.55000000000000004">
      <c r="B9" s="456" t="s">
        <v>75</v>
      </c>
      <c r="C9" s="457">
        <f>Quarts!O25</f>
        <v>21.1</v>
      </c>
      <c r="D9" s="457">
        <f>Quarts!P25</f>
        <v>23.2</v>
      </c>
      <c r="E9" s="457">
        <f>Quarts!Q25</f>
        <v>19.100000000000001</v>
      </c>
      <c r="F9" s="457">
        <f>Quarts!R25</f>
        <v>14.2</v>
      </c>
      <c r="G9" s="457">
        <f>Quarts!S25</f>
        <v>20</v>
      </c>
      <c r="H9" s="457">
        <f>Quarts!T25</f>
        <v>20.7</v>
      </c>
      <c r="I9" s="457">
        <f>Quarts!U25</f>
        <v>23.9</v>
      </c>
      <c r="J9" s="457">
        <f>Quarts!V25</f>
        <v>10.5</v>
      </c>
      <c r="K9" s="457">
        <f>Quarts!W25</f>
        <v>13.8</v>
      </c>
      <c r="L9" s="457">
        <f>Quarts!X25</f>
        <v>0</v>
      </c>
      <c r="M9" s="458">
        <f>Quarts!Y25</f>
        <v>16</v>
      </c>
      <c r="N9" s="459">
        <f>L9/M9-1</f>
        <v>-1</v>
      </c>
      <c r="O9" s="457">
        <v>15.7</v>
      </c>
      <c r="P9" s="459">
        <f>M9/O9-1</f>
        <v>1.9108280254777066E-2</v>
      </c>
    </row>
    <row r="10" spans="2:16" x14ac:dyDescent="0.55000000000000004">
      <c r="B10" s="68" t="s">
        <v>68</v>
      </c>
      <c r="C10" s="69">
        <f>Quarts!O26</f>
        <v>12.9</v>
      </c>
      <c r="D10" s="69">
        <f>Quarts!P26</f>
        <v>16</v>
      </c>
      <c r="E10" s="69">
        <f>Quarts!Q26</f>
        <v>16.600000000000001</v>
      </c>
      <c r="F10" s="69">
        <f>Quarts!R26</f>
        <v>22.4</v>
      </c>
      <c r="G10" s="69">
        <f>Quarts!S26</f>
        <v>22.7</v>
      </c>
      <c r="H10" s="69">
        <f>Quarts!T26</f>
        <v>28.3</v>
      </c>
      <c r="I10" s="69">
        <f>Quarts!U26</f>
        <v>30.2</v>
      </c>
      <c r="J10" s="69">
        <f>Quarts!V26</f>
        <v>35.6</v>
      </c>
      <c r="K10" s="69">
        <f>Quarts!W26</f>
        <v>34</v>
      </c>
      <c r="L10" s="69">
        <f>Quarts!X26</f>
        <v>0</v>
      </c>
      <c r="M10" s="340">
        <f>Quarts!Y26</f>
        <v>37</v>
      </c>
      <c r="N10" s="79">
        <f>L10/M10-1</f>
        <v>-1</v>
      </c>
      <c r="O10" s="69">
        <v>39.1</v>
      </c>
      <c r="P10" s="79">
        <f>M10/O10-1</f>
        <v>-5.3708439897698246E-2</v>
      </c>
    </row>
    <row r="11" spans="2:16" x14ac:dyDescent="0.55000000000000004">
      <c r="B11" s="456" t="s">
        <v>74</v>
      </c>
      <c r="C11" s="457">
        <f>Quarts!O27</f>
        <v>12.1</v>
      </c>
      <c r="D11" s="457">
        <f>Quarts!P27</f>
        <v>12.7</v>
      </c>
      <c r="E11" s="457">
        <f>Quarts!Q27</f>
        <v>13.7</v>
      </c>
      <c r="F11" s="457">
        <f>Quarts!R27</f>
        <v>13.9</v>
      </c>
      <c r="G11" s="457">
        <f>Quarts!S27</f>
        <v>14.2</v>
      </c>
      <c r="H11" s="457">
        <f>Quarts!T27</f>
        <v>14.2</v>
      </c>
      <c r="I11" s="457">
        <f>Quarts!U27</f>
        <v>12.4</v>
      </c>
      <c r="J11" s="457">
        <f>Quarts!V27</f>
        <v>14.9</v>
      </c>
      <c r="K11" s="457">
        <f>Quarts!W27</f>
        <v>12.4</v>
      </c>
      <c r="L11" s="457">
        <f>Quarts!X27</f>
        <v>0</v>
      </c>
      <c r="M11" s="458">
        <f>Quarts!Y27</f>
        <v>14</v>
      </c>
      <c r="N11" s="459">
        <f>L11/M11-1</f>
        <v>-1</v>
      </c>
      <c r="O11" s="457">
        <v>14.3</v>
      </c>
      <c r="P11" s="459">
        <f>M11/O11-1</f>
        <v>-2.0979020979021046E-2</v>
      </c>
    </row>
    <row r="12" spans="2:16" x14ac:dyDescent="0.55000000000000004">
      <c r="B12" s="68" t="s">
        <v>198</v>
      </c>
      <c r="C12" s="69"/>
      <c r="D12" s="69"/>
      <c r="E12" s="69"/>
      <c r="F12" s="69"/>
      <c r="G12" s="69">
        <f>Quarts!S32</f>
        <v>3.5</v>
      </c>
      <c r="H12" s="69">
        <f>Quarts!T32</f>
        <v>4.7</v>
      </c>
      <c r="I12" s="69">
        <f>Quarts!U32</f>
        <v>10.1</v>
      </c>
      <c r="J12" s="69">
        <f>Quarts!V32</f>
        <v>18.399999999999999</v>
      </c>
      <c r="K12" s="69">
        <f>Quarts!W32</f>
        <v>39</v>
      </c>
      <c r="L12" s="69">
        <f>Quarts!X32</f>
        <v>0</v>
      </c>
      <c r="M12" s="340">
        <f>Quarts!Y32</f>
        <v>15</v>
      </c>
      <c r="N12" s="79"/>
      <c r="O12" s="69">
        <f>M12</f>
        <v>15</v>
      </c>
      <c r="P12" s="79"/>
    </row>
    <row r="13" spans="2:16" x14ac:dyDescent="0.55000000000000004">
      <c r="B13" s="456" t="s">
        <v>69</v>
      </c>
      <c r="C13" s="457"/>
      <c r="D13" s="457"/>
      <c r="E13" s="457"/>
      <c r="F13" s="457"/>
      <c r="G13" s="457">
        <f>Quarts!S31</f>
        <v>26.9</v>
      </c>
      <c r="H13" s="457">
        <f>Quarts!T31</f>
        <v>20.399999999999999</v>
      </c>
      <c r="I13" s="457">
        <f>Quarts!U31</f>
        <v>8.3000000000000007</v>
      </c>
      <c r="J13" s="457">
        <f>Quarts!V31</f>
        <v>28.4</v>
      </c>
      <c r="K13" s="457">
        <f>Quarts!W31</f>
        <v>7.2</v>
      </c>
      <c r="L13" s="457">
        <f>Quarts!X31</f>
        <v>0</v>
      </c>
      <c r="M13" s="458">
        <f>Quarts!Y31</f>
        <v>9</v>
      </c>
      <c r="N13" s="459"/>
      <c r="O13" s="457">
        <v>9.3000000000000007</v>
      </c>
      <c r="P13" s="459"/>
    </row>
    <row r="14" spans="2:16" x14ac:dyDescent="0.55000000000000004">
      <c r="B14" s="68" t="s">
        <v>63</v>
      </c>
      <c r="C14" s="69">
        <f>C7-C8-C9-C10-C11</f>
        <v>23.300000000000004</v>
      </c>
      <c r="D14" s="69">
        <f>D7-D8-D9-D10-D11</f>
        <v>28.599999999999998</v>
      </c>
      <c r="E14" s="69">
        <f>E7-E8-E9-E10-E11</f>
        <v>40.700000000000003</v>
      </c>
      <c r="F14" s="69">
        <f>F7-F8-F9-F10-F11</f>
        <v>44.5</v>
      </c>
      <c r="G14" s="69">
        <f>G7-G8-G9-G10-G11-G12-G13</f>
        <v>27.20000000000001</v>
      </c>
      <c r="H14" s="69">
        <f t="shared" ref="H14:K14" si="0">H7-H8-H9-H10-H11-H12-H13</f>
        <v>31.599999999999987</v>
      </c>
      <c r="I14" s="69">
        <f t="shared" si="0"/>
        <v>34.300000000000011</v>
      </c>
      <c r="J14" s="69">
        <f t="shared" si="0"/>
        <v>30.000000000000014</v>
      </c>
      <c r="K14" s="69">
        <f t="shared" si="0"/>
        <v>34.900000000000006</v>
      </c>
      <c r="L14" s="69">
        <f t="shared" ref="L14" si="1">L7-L8-L9-L10-L11-L12-L13</f>
        <v>0</v>
      </c>
      <c r="M14" s="340">
        <f t="shared" ref="M14" si="2">M7-M8-M9-M10-M11-M12-M13</f>
        <v>38</v>
      </c>
      <c r="N14" s="79">
        <f>L14/M14-1</f>
        <v>-1</v>
      </c>
      <c r="O14" s="69">
        <f t="shared" ref="O14" si="3">O7-O8-O9-O10-O11-O12-O13</f>
        <v>64.600000000000023</v>
      </c>
      <c r="P14" s="79">
        <f>M14/O14-1</f>
        <v>-0.41176470588235314</v>
      </c>
    </row>
    <row r="15" spans="2:16" x14ac:dyDescent="0.55000000000000004">
      <c r="B15" s="456"/>
      <c r="C15" s="457"/>
      <c r="D15" s="457"/>
      <c r="E15" s="457"/>
      <c r="F15" s="457"/>
      <c r="G15" s="457"/>
      <c r="H15" s="457"/>
      <c r="I15" s="457"/>
      <c r="J15" s="457"/>
      <c r="K15" s="457"/>
      <c r="L15" s="457"/>
      <c r="M15" s="458"/>
      <c r="N15" s="459"/>
      <c r="O15" s="457"/>
      <c r="P15" s="459"/>
    </row>
    <row r="16" spans="2:16" ht="14.7" thickBot="1" x14ac:dyDescent="0.6">
      <c r="B16" s="68" t="s">
        <v>104</v>
      </c>
      <c r="C16" s="69">
        <f t="shared" ref="C16:K16" si="4">C7-C17</f>
        <v>43.9</v>
      </c>
      <c r="D16" s="69">
        <f t="shared" si="4"/>
        <v>51.6</v>
      </c>
      <c r="E16" s="69">
        <f t="shared" si="4"/>
        <v>58.028000000000006</v>
      </c>
      <c r="F16" s="69">
        <f t="shared" si="4"/>
        <v>63.300000000000004</v>
      </c>
      <c r="G16" s="69">
        <f t="shared" si="4"/>
        <v>75.5</v>
      </c>
      <c r="H16" s="69">
        <f t="shared" si="4"/>
        <v>90.399999999999977</v>
      </c>
      <c r="I16" s="69">
        <f t="shared" si="4"/>
        <v>89.4</v>
      </c>
      <c r="J16" s="69">
        <f t="shared" si="4"/>
        <v>118.1</v>
      </c>
      <c r="K16" s="69">
        <f t="shared" si="4"/>
        <v>121.4</v>
      </c>
      <c r="L16" s="69">
        <f t="shared" ref="L16" si="5">L7-L17</f>
        <v>0</v>
      </c>
      <c r="M16" s="340">
        <f t="shared" ref="M16" si="6">M7-M17</f>
        <v>113.64</v>
      </c>
      <c r="N16" s="79">
        <f>L16/M16-1</f>
        <v>-1</v>
      </c>
      <c r="O16" s="69">
        <f>O7-O17</f>
        <v>133.69999999999999</v>
      </c>
      <c r="P16" s="79">
        <f>M16/O16-1</f>
        <v>-0.15003739715781594</v>
      </c>
    </row>
    <row r="17" spans="2:17" ht="14.7" thickBot="1" x14ac:dyDescent="0.6">
      <c r="B17" s="448" t="s">
        <v>105</v>
      </c>
      <c r="C17" s="449">
        <f>Quarts!O79</f>
        <v>43.6</v>
      </c>
      <c r="D17" s="449">
        <f>Quarts!P79</f>
        <v>49.6</v>
      </c>
      <c r="E17" s="449">
        <f>Quarts!Q79</f>
        <v>53.872</v>
      </c>
      <c r="F17" s="449">
        <f>Quarts!R79</f>
        <v>55.1</v>
      </c>
      <c r="G17" s="449">
        <f>Quarts!S79</f>
        <v>61.800000000000004</v>
      </c>
      <c r="H17" s="449">
        <f>Quarts!T79</f>
        <v>70.700000000000017</v>
      </c>
      <c r="I17" s="449">
        <f>Quarts!U79</f>
        <v>74.5</v>
      </c>
      <c r="J17" s="449">
        <f>Quarts!V79</f>
        <v>69.900000000000006</v>
      </c>
      <c r="K17" s="449">
        <f>Quarts!W79</f>
        <v>63</v>
      </c>
      <c r="L17" s="449">
        <f>Quarts!X79</f>
        <v>0</v>
      </c>
      <c r="M17" s="450">
        <f>Quarts!Y79</f>
        <v>65.36</v>
      </c>
      <c r="N17" s="451">
        <f>L17/M17-1</f>
        <v>-1</v>
      </c>
      <c r="O17" s="449">
        <v>73.8</v>
      </c>
      <c r="P17" s="451">
        <f>M17/O17-1</f>
        <v>-0.11436314363143629</v>
      </c>
    </row>
    <row r="18" spans="2:17" x14ac:dyDescent="0.55000000000000004">
      <c r="B18" s="68" t="s">
        <v>1141</v>
      </c>
      <c r="C18" s="73">
        <f t="shared" ref="C18:K18" si="7">C17/C7</f>
        <v>0.49828571428571428</v>
      </c>
      <c r="D18" s="73">
        <f t="shared" si="7"/>
        <v>0.49011857707509882</v>
      </c>
      <c r="E18" s="73">
        <f t="shared" si="7"/>
        <v>0.48142984807864164</v>
      </c>
      <c r="F18" s="73">
        <f t="shared" si="7"/>
        <v>0.4653716216216216</v>
      </c>
      <c r="G18" s="73">
        <f t="shared" si="7"/>
        <v>0.45010924981791695</v>
      </c>
      <c r="H18" s="73">
        <f t="shared" si="7"/>
        <v>0.43885785226567364</v>
      </c>
      <c r="I18" s="73">
        <f t="shared" si="7"/>
        <v>0.45454545454545453</v>
      </c>
      <c r="J18" s="73">
        <f t="shared" si="7"/>
        <v>0.3718085106382979</v>
      </c>
      <c r="K18" s="73">
        <f t="shared" si="7"/>
        <v>0.34164859002169196</v>
      </c>
      <c r="L18" s="73" t="e">
        <f t="shared" ref="L18" si="8">L17/L7</f>
        <v>#DIV/0!</v>
      </c>
      <c r="M18" s="368">
        <f t="shared" ref="M18" si="9">M17/M7</f>
        <v>0.36513966480446924</v>
      </c>
      <c r="N18" s="79"/>
      <c r="O18" s="73">
        <f>O17/O7</f>
        <v>0.35566265060240965</v>
      </c>
      <c r="P18" s="79"/>
    </row>
    <row r="19" spans="2:17" ht="14.7" thickBot="1" x14ac:dyDescent="0.6">
      <c r="B19" s="456" t="s">
        <v>1109</v>
      </c>
      <c r="C19" s="460">
        <f t="shared" ref="C19:K19" si="10">C17/C5</f>
        <v>2.0722433460076045E-2</v>
      </c>
      <c r="D19" s="460">
        <f t="shared" si="10"/>
        <v>2.0386354295108919E-2</v>
      </c>
      <c r="E19" s="460">
        <f t="shared" si="10"/>
        <v>1.9704462326261888E-2</v>
      </c>
      <c r="F19" s="460">
        <f t="shared" si="10"/>
        <v>1.6717233009708739E-2</v>
      </c>
      <c r="G19" s="460">
        <f t="shared" si="10"/>
        <v>1.7291550083939566E-2</v>
      </c>
      <c r="H19" s="460">
        <f t="shared" si="10"/>
        <v>1.6167390807226165E-2</v>
      </c>
      <c r="I19" s="460">
        <f t="shared" si="10"/>
        <v>1.613252490255522E-2</v>
      </c>
      <c r="J19" s="460">
        <f t="shared" si="10"/>
        <v>1.3676384269223246E-2</v>
      </c>
      <c r="K19" s="460">
        <f t="shared" si="10"/>
        <v>1.1864406779661017E-2</v>
      </c>
      <c r="L19" s="460" t="e">
        <f t="shared" ref="L19" si="11">L17/L5</f>
        <v>#DIV/0!</v>
      </c>
      <c r="M19" s="461">
        <f t="shared" ref="M19" si="12">M17/M5</f>
        <v>1.1268965517241379E-2</v>
      </c>
      <c r="N19" s="459"/>
      <c r="O19" s="460">
        <f>O17/O5</f>
        <v>1.2198347107438017E-2</v>
      </c>
      <c r="P19" s="459"/>
    </row>
    <row r="20" spans="2:17" ht="14.7" thickBot="1" x14ac:dyDescent="0.6">
      <c r="B20" s="369" t="s">
        <v>3</v>
      </c>
      <c r="C20" s="370">
        <f>Quarts!O124</f>
        <v>32.9</v>
      </c>
      <c r="D20" s="370">
        <f>Quarts!P124</f>
        <v>38.200000000000003</v>
      </c>
      <c r="E20" s="370">
        <f>Quarts!Q124</f>
        <v>41.6</v>
      </c>
      <c r="F20" s="370">
        <f>Quarts!R124</f>
        <v>40.4</v>
      </c>
      <c r="G20" s="370">
        <f>Quarts!S124</f>
        <v>45.5</v>
      </c>
      <c r="H20" s="370">
        <f>Quarts!T124</f>
        <v>52</v>
      </c>
      <c r="I20" s="370">
        <f>Quarts!U124</f>
        <v>55.6</v>
      </c>
      <c r="J20" s="370">
        <f>Quarts!V124</f>
        <v>49.2</v>
      </c>
      <c r="K20" s="370">
        <f>Quarts!W124</f>
        <v>36.799999999999997</v>
      </c>
      <c r="L20" s="370">
        <f>Quarts!X124</f>
        <v>0</v>
      </c>
      <c r="M20" s="371">
        <f>Quarts!Y124</f>
        <v>41.36</v>
      </c>
      <c r="N20" s="372">
        <f>L20/M20-1</f>
        <v>-1</v>
      </c>
      <c r="O20" s="370">
        <v>46.4</v>
      </c>
      <c r="P20" s="372">
        <f>M20/O20-1</f>
        <v>-0.10862068965517235</v>
      </c>
    </row>
    <row r="21" spans="2:17" x14ac:dyDescent="0.55000000000000004">
      <c r="B21" s="456" t="s">
        <v>4</v>
      </c>
      <c r="C21" s="462">
        <f>Quarts!O125</f>
        <v>0.376</v>
      </c>
      <c r="D21" s="462">
        <f>Quarts!P125</f>
        <v>0.37747035573122534</v>
      </c>
      <c r="E21" s="462">
        <f>Quarts!Q125</f>
        <v>0.37176050044682751</v>
      </c>
      <c r="F21" s="462">
        <f>Quarts!R125</f>
        <v>0.34121621621621617</v>
      </c>
      <c r="G21" s="462">
        <f>Quarts!S125</f>
        <v>0.33139111434814272</v>
      </c>
      <c r="H21" s="462">
        <f>Quarts!T125</f>
        <v>0.32278088144009931</v>
      </c>
      <c r="I21" s="462">
        <f>Quarts!U125</f>
        <v>0.33923123856009763</v>
      </c>
      <c r="J21" s="462">
        <f>Quarts!V125</f>
        <v>0.26170212765957446</v>
      </c>
      <c r="K21" s="462">
        <f>Quarts!W125</f>
        <v>0.19956616052060736</v>
      </c>
      <c r="L21" s="462">
        <f>Quarts!X125</f>
        <v>0</v>
      </c>
      <c r="M21" s="463">
        <f>Quarts!Y125</f>
        <v>0.23106145251396648</v>
      </c>
      <c r="N21" s="462"/>
      <c r="O21" s="462">
        <f>O20/O7</f>
        <v>0.2236144578313253</v>
      </c>
      <c r="P21" s="462"/>
    </row>
    <row r="22" spans="2:17" x14ac:dyDescent="0.55000000000000004">
      <c r="B22" s="68" t="s">
        <v>110</v>
      </c>
      <c r="C22" s="69">
        <f>Quarts!O144</f>
        <v>26.273</v>
      </c>
      <c r="D22" s="69">
        <f>Quarts!P144</f>
        <v>30.722000000000001</v>
      </c>
      <c r="E22" s="69">
        <f>Quarts!Q144</f>
        <v>32.338000000000001</v>
      </c>
      <c r="F22" s="69">
        <f>Quarts!R144</f>
        <v>19.3</v>
      </c>
      <c r="G22" s="69">
        <f>Quarts!S144</f>
        <v>35.5</v>
      </c>
      <c r="H22" s="69">
        <f>Quarts!T144</f>
        <v>44.8</v>
      </c>
      <c r="I22" s="69">
        <f>Quarts!U144</f>
        <v>40.433000000000007</v>
      </c>
      <c r="J22" s="69">
        <f>Quarts!V144</f>
        <v>38.6</v>
      </c>
      <c r="K22" s="69">
        <f>Quarts!W144</f>
        <v>17.718</v>
      </c>
      <c r="L22" s="69">
        <f>Quarts!X144</f>
        <v>0</v>
      </c>
      <c r="M22" s="340">
        <f>Quarts!Y144</f>
        <v>27.088000000000001</v>
      </c>
      <c r="N22" s="73">
        <f>L22/M22-1</f>
        <v>-1</v>
      </c>
      <c r="O22" s="69">
        <v>29.2</v>
      </c>
      <c r="P22" s="73">
        <f>M22/O22-1</f>
        <v>-7.2328767123287618E-2</v>
      </c>
    </row>
    <row r="23" spans="2:17" x14ac:dyDescent="0.55000000000000004">
      <c r="B23" s="456" t="s">
        <v>106</v>
      </c>
      <c r="C23" s="462">
        <f>Quarts!O145</f>
        <v>0.30026285714285716</v>
      </c>
      <c r="D23" s="462">
        <f>Quarts!P145</f>
        <v>0.30357707509881421</v>
      </c>
      <c r="E23" s="462">
        <f>Quarts!Q145</f>
        <v>0.28899016979445935</v>
      </c>
      <c r="F23" s="462">
        <f>Quarts!R145</f>
        <v>0.16300675675675674</v>
      </c>
      <c r="G23" s="462">
        <f>Quarts!S145</f>
        <v>0.25855790240349596</v>
      </c>
      <c r="H23" s="462">
        <f>Quarts!T145</f>
        <v>0.2780881440099317</v>
      </c>
      <c r="I23" s="462">
        <f>Quarts!U145</f>
        <v>0.24669310555216598</v>
      </c>
      <c r="J23" s="462">
        <f>Quarts!V145</f>
        <v>0.20531914893617023</v>
      </c>
      <c r="K23" s="462">
        <f>Quarts!W145</f>
        <v>9.6084598698481558E-2</v>
      </c>
      <c r="L23" s="462">
        <f>Quarts!X145</f>
        <v>0</v>
      </c>
      <c r="M23" s="463">
        <f>Quarts!Y145</f>
        <v>0.15132960893854749</v>
      </c>
      <c r="N23" s="459"/>
      <c r="O23" s="462"/>
      <c r="P23" s="459"/>
    </row>
    <row r="24" spans="2:17" x14ac:dyDescent="0.55000000000000004">
      <c r="B24" s="68" t="s">
        <v>301</v>
      </c>
      <c r="C24" s="69">
        <f>Quarts!O147</f>
        <v>26.361999999999998</v>
      </c>
      <c r="D24" s="69">
        <f>Quarts!P147</f>
        <v>30.732000000000006</v>
      </c>
      <c r="E24" s="69">
        <f>Quarts!Q147</f>
        <v>32.998000000000005</v>
      </c>
      <c r="F24" s="69">
        <f>Quarts!R147</f>
        <v>26.931000000000001</v>
      </c>
      <c r="G24" s="69">
        <f>Quarts!S147</f>
        <v>36.796999999999997</v>
      </c>
      <c r="H24" s="69">
        <f>Quarts!T147</f>
        <v>44.949999999999996</v>
      </c>
      <c r="I24" s="69">
        <f>Quarts!U147</f>
        <v>47.938000000000009</v>
      </c>
      <c r="J24" s="69">
        <f>Quarts!V147</f>
        <v>39.499999999999993</v>
      </c>
      <c r="K24" s="69">
        <f>Quarts!W147</f>
        <v>11.935000000000002</v>
      </c>
      <c r="L24" s="69">
        <f>Quarts!X147</f>
        <v>0</v>
      </c>
      <c r="M24" s="340">
        <f>Quarts!Y147</f>
        <v>27.588000000000001</v>
      </c>
      <c r="N24" s="73">
        <f>L24/M24-1</f>
        <v>-1</v>
      </c>
      <c r="O24" s="69"/>
      <c r="P24" s="73"/>
    </row>
    <row r="25" spans="2:17" ht="14.7" thickBot="1" x14ac:dyDescent="0.6">
      <c r="B25" s="464" t="s">
        <v>1458</v>
      </c>
      <c r="C25" s="465">
        <f>Quarts!O129</f>
        <v>1.6284858107103695</v>
      </c>
      <c r="D25" s="465">
        <f>Quarts!P129</f>
        <v>1.2376169116243561</v>
      </c>
      <c r="E25" s="465">
        <f>Quarts!Q129</f>
        <v>1.3362467598909358</v>
      </c>
      <c r="F25" s="465">
        <f>Quarts!R129</f>
        <v>1.1496647833572053</v>
      </c>
      <c r="G25" s="465">
        <f>Quarts!S129</f>
        <v>1.1536771473531071</v>
      </c>
      <c r="H25" s="465">
        <f>Quarts!T129</f>
        <v>1.1609053474471873</v>
      </c>
      <c r="I25" s="465">
        <f>Quarts!U129</f>
        <v>1.1292163577398475</v>
      </c>
      <c r="J25" s="465">
        <f>Quarts!V129</f>
        <v>0.97246520177905182</v>
      </c>
      <c r="K25" s="465">
        <f>Quarts!W129</f>
        <v>0.60354445985513938</v>
      </c>
      <c r="L25" s="465">
        <f>Quarts!X129</f>
        <v>0</v>
      </c>
      <c r="M25" s="466">
        <f>Quarts!Y129</f>
        <v>0.55727252739262367</v>
      </c>
      <c r="N25" s="467"/>
      <c r="O25" s="465"/>
      <c r="P25" s="467"/>
    </row>
    <row r="26" spans="2:17" x14ac:dyDescent="0.55000000000000004">
      <c r="B26" s="56" t="s">
        <v>1459</v>
      </c>
    </row>
    <row r="27" spans="2:17" ht="14.7" thickBot="1" x14ac:dyDescent="0.6"/>
    <row r="28" spans="2:17" ht="14.7" thickBot="1" x14ac:dyDescent="0.6">
      <c r="C28" s="365"/>
      <c r="D28" s="365"/>
      <c r="E28" s="365"/>
      <c r="F28" s="365"/>
      <c r="G28" s="471" t="s">
        <v>1</v>
      </c>
      <c r="H28" s="472"/>
      <c r="I28" s="472"/>
      <c r="J28" s="473"/>
      <c r="K28" s="471" t="s">
        <v>1736</v>
      </c>
      <c r="L28" s="472"/>
      <c r="M28" s="472"/>
      <c r="N28" s="473"/>
      <c r="O28" s="471" t="s">
        <v>610</v>
      </c>
      <c r="P28" s="472"/>
      <c r="Q28" s="473"/>
    </row>
    <row r="29" spans="2:17" x14ac:dyDescent="0.55000000000000004">
      <c r="B29" s="1" t="s">
        <v>2</v>
      </c>
      <c r="G29" s="5" t="s">
        <v>1457</v>
      </c>
      <c r="H29" s="5" t="s">
        <v>1775</v>
      </c>
      <c r="I29" s="5" t="s">
        <v>1914</v>
      </c>
      <c r="J29" s="5" t="s">
        <v>1987</v>
      </c>
      <c r="K29" s="373" t="s">
        <v>1457</v>
      </c>
      <c r="L29" s="5" t="s">
        <v>1775</v>
      </c>
      <c r="M29" s="5" t="s">
        <v>1914</v>
      </c>
      <c r="N29" s="5" t="s">
        <v>1987</v>
      </c>
      <c r="O29" s="373" t="s">
        <v>1457</v>
      </c>
      <c r="P29" s="5" t="s">
        <v>1775</v>
      </c>
      <c r="Q29" s="5" t="s">
        <v>1914</v>
      </c>
    </row>
    <row r="30" spans="2:17" x14ac:dyDescent="0.55000000000000004">
      <c r="B30" s="226" t="s">
        <v>64</v>
      </c>
      <c r="G30" s="228">
        <f t="shared" ref="G30:I35" si="13">I8</f>
        <v>44.7</v>
      </c>
      <c r="H30" s="228">
        <f t="shared" si="13"/>
        <v>50.2</v>
      </c>
      <c r="I30" s="228">
        <f t="shared" si="13"/>
        <v>43.1</v>
      </c>
      <c r="J30" s="228">
        <f>I30-H30</f>
        <v>-7.1000000000000014</v>
      </c>
      <c r="K30" s="382">
        <v>22.7</v>
      </c>
      <c r="L30" s="228">
        <v>25.5</v>
      </c>
      <c r="M30" s="228">
        <v>17.899999999999999</v>
      </c>
      <c r="N30" s="226">
        <v>-8</v>
      </c>
      <c r="O30" s="381">
        <f t="shared" ref="O30:Q35" si="14">K30/I8</f>
        <v>0.50782997762863535</v>
      </c>
      <c r="P30" s="268">
        <f t="shared" si="14"/>
        <v>0.50796812749003983</v>
      </c>
      <c r="Q30" s="268">
        <f t="shared" si="14"/>
        <v>0.41531322505800461</v>
      </c>
    </row>
    <row r="31" spans="2:17" x14ac:dyDescent="0.55000000000000004">
      <c r="B31" t="s">
        <v>75</v>
      </c>
      <c r="G31" s="9">
        <f t="shared" si="13"/>
        <v>23.9</v>
      </c>
      <c r="H31" s="9">
        <f t="shared" si="13"/>
        <v>10.5</v>
      </c>
      <c r="I31" s="9">
        <f t="shared" si="13"/>
        <v>13.8</v>
      </c>
      <c r="J31" s="9">
        <f t="shared" ref="J31:J37" si="15">I31-H31</f>
        <v>3.3000000000000007</v>
      </c>
      <c r="K31" s="375">
        <v>13.1</v>
      </c>
      <c r="L31" s="9">
        <v>4</v>
      </c>
      <c r="M31" s="9">
        <v>5.2</v>
      </c>
      <c r="N31">
        <v>1</v>
      </c>
      <c r="O31" s="378">
        <f t="shared" si="14"/>
        <v>0.54811715481171552</v>
      </c>
      <c r="P31" s="3">
        <f t="shared" si="14"/>
        <v>0.38095238095238093</v>
      </c>
      <c r="Q31" s="3">
        <f t="shared" si="14"/>
        <v>0.37681159420289856</v>
      </c>
    </row>
    <row r="32" spans="2:17" x14ac:dyDescent="0.55000000000000004">
      <c r="B32" s="226" t="s">
        <v>68</v>
      </c>
      <c r="G32" s="228">
        <f t="shared" si="13"/>
        <v>30.2</v>
      </c>
      <c r="H32" s="228">
        <f t="shared" si="13"/>
        <v>35.6</v>
      </c>
      <c r="I32" s="228">
        <f t="shared" si="13"/>
        <v>34</v>
      </c>
      <c r="J32" s="228">
        <f t="shared" si="15"/>
        <v>-1.6000000000000014</v>
      </c>
      <c r="K32" s="374">
        <v>7.9</v>
      </c>
      <c r="L32" s="228">
        <v>9.3000000000000007</v>
      </c>
      <c r="M32" s="228">
        <v>9.9</v>
      </c>
      <c r="N32" s="226">
        <v>1</v>
      </c>
      <c r="O32" s="377">
        <f t="shared" si="14"/>
        <v>0.26158940397350994</v>
      </c>
      <c r="P32" s="268">
        <f t="shared" si="14"/>
        <v>0.2612359550561798</v>
      </c>
      <c r="Q32" s="268">
        <f t="shared" si="14"/>
        <v>0.29117647058823531</v>
      </c>
    </row>
    <row r="33" spans="2:17" x14ac:dyDescent="0.55000000000000004">
      <c r="B33" t="s">
        <v>74</v>
      </c>
      <c r="G33" s="9">
        <f t="shared" si="13"/>
        <v>12.4</v>
      </c>
      <c r="H33" s="9">
        <f t="shared" si="13"/>
        <v>14.9</v>
      </c>
      <c r="I33" s="9">
        <f t="shared" si="13"/>
        <v>12.4</v>
      </c>
      <c r="J33" s="9">
        <f t="shared" si="15"/>
        <v>-2.5</v>
      </c>
      <c r="K33" s="375">
        <v>6.9</v>
      </c>
      <c r="L33" s="9">
        <v>9.1</v>
      </c>
      <c r="M33" s="9">
        <v>7.5</v>
      </c>
      <c r="N33">
        <v>-2</v>
      </c>
      <c r="O33" s="378">
        <f t="shared" si="14"/>
        <v>0.55645161290322587</v>
      </c>
      <c r="P33" s="3">
        <f t="shared" si="14"/>
        <v>0.61073825503355705</v>
      </c>
      <c r="Q33" s="3">
        <f t="shared" si="14"/>
        <v>0.60483870967741937</v>
      </c>
    </row>
    <row r="34" spans="2:17" x14ac:dyDescent="0.55000000000000004">
      <c r="B34" s="226" t="s">
        <v>198</v>
      </c>
      <c r="G34" s="228">
        <f t="shared" si="13"/>
        <v>10.1</v>
      </c>
      <c r="H34" s="228">
        <f t="shared" si="13"/>
        <v>18.399999999999999</v>
      </c>
      <c r="I34" s="228">
        <f t="shared" si="13"/>
        <v>39</v>
      </c>
      <c r="J34" s="228">
        <f t="shared" si="15"/>
        <v>20.6</v>
      </c>
      <c r="K34" s="374">
        <v>9.6</v>
      </c>
      <c r="L34" s="228">
        <v>9.6</v>
      </c>
      <c r="M34" s="228">
        <v>10.3</v>
      </c>
      <c r="N34" s="226">
        <v>1</v>
      </c>
      <c r="O34" s="377">
        <f t="shared" si="14"/>
        <v>0.95049504950495045</v>
      </c>
      <c r="P34" s="268">
        <f t="shared" si="14"/>
        <v>0.52173913043478259</v>
      </c>
      <c r="Q34" s="268">
        <f t="shared" si="14"/>
        <v>0.26410256410256411</v>
      </c>
    </row>
    <row r="35" spans="2:17" x14ac:dyDescent="0.55000000000000004">
      <c r="B35" t="s">
        <v>69</v>
      </c>
      <c r="G35" s="9">
        <f t="shared" si="13"/>
        <v>8.3000000000000007</v>
      </c>
      <c r="H35" s="9">
        <f t="shared" si="13"/>
        <v>28.4</v>
      </c>
      <c r="I35" s="9">
        <f t="shared" si="13"/>
        <v>7.2</v>
      </c>
      <c r="J35" s="9">
        <f t="shared" si="15"/>
        <v>-21.2</v>
      </c>
      <c r="K35" s="375">
        <v>1.7</v>
      </c>
      <c r="L35" s="9">
        <v>1.5</v>
      </c>
      <c r="M35" s="9">
        <v>0.5</v>
      </c>
      <c r="N35">
        <v>-1</v>
      </c>
      <c r="O35" s="378">
        <f t="shared" si="14"/>
        <v>0.2048192771084337</v>
      </c>
      <c r="P35" s="3">
        <f t="shared" si="14"/>
        <v>5.281690140845071E-2</v>
      </c>
      <c r="Q35" s="3">
        <f t="shared" si="14"/>
        <v>6.9444444444444448E-2</v>
      </c>
    </row>
    <row r="36" spans="2:17" x14ac:dyDescent="0.55000000000000004">
      <c r="B36" s="235" t="s">
        <v>63</v>
      </c>
      <c r="G36" s="367">
        <f>G37-G30-G31-G32-G33-G34-G35</f>
        <v>34.300000000000011</v>
      </c>
      <c r="H36" s="367">
        <f>H37-H30-H31-H32-H33-H34-H35</f>
        <v>30.000000000000014</v>
      </c>
      <c r="I36" s="367">
        <f>I37-I30-I31-I32-I33-I34-I35</f>
        <v>34.900000000000006</v>
      </c>
      <c r="J36" s="228">
        <f>I36-H36</f>
        <v>4.8999999999999915</v>
      </c>
      <c r="K36" s="383">
        <f>K37-K30-K31-K32-K33-K34-K35</f>
        <v>12.6</v>
      </c>
      <c r="L36" s="367">
        <f>L37-L30-L31-L32-L33-L34-L35</f>
        <v>10.900000000000007</v>
      </c>
      <c r="M36" s="367">
        <f>M37-M30-M31-M32-M33-M34-M35</f>
        <v>11.7</v>
      </c>
      <c r="N36" s="367">
        <f>L36-M36</f>
        <v>-0.79999999999999183</v>
      </c>
      <c r="O36" s="379">
        <f>K36/G36</f>
        <v>0.36734693877551006</v>
      </c>
      <c r="P36" s="345">
        <f>L36/H36</f>
        <v>0.3633333333333334</v>
      </c>
      <c r="Q36" s="345">
        <f>M36/I36</f>
        <v>0.33524355300859593</v>
      </c>
    </row>
    <row r="37" spans="2:17" x14ac:dyDescent="0.55000000000000004">
      <c r="B37" s="10" t="s">
        <v>243</v>
      </c>
      <c r="C37" s="10"/>
      <c r="D37" s="10"/>
      <c r="E37" s="10"/>
      <c r="F37" s="10"/>
      <c r="G37" s="347">
        <f>I7</f>
        <v>163.9</v>
      </c>
      <c r="H37" s="347">
        <f>J7</f>
        <v>188</v>
      </c>
      <c r="I37" s="347">
        <f>K7</f>
        <v>184.4</v>
      </c>
      <c r="J37" s="347">
        <f t="shared" si="15"/>
        <v>-3.5999999999999943</v>
      </c>
      <c r="K37" s="384">
        <f>I17</f>
        <v>74.5</v>
      </c>
      <c r="L37" s="347">
        <f>J17</f>
        <v>69.900000000000006</v>
      </c>
      <c r="M37" s="347">
        <f>K17</f>
        <v>63</v>
      </c>
      <c r="N37" s="347">
        <f>M37-L37</f>
        <v>-6.9000000000000057</v>
      </c>
      <c r="O37" s="385">
        <f>K37/I7</f>
        <v>0.45454545454545453</v>
      </c>
      <c r="P37" s="47">
        <f>L37/J7</f>
        <v>0.3718085106382979</v>
      </c>
      <c r="Q37" s="47">
        <f>M37/K7</f>
        <v>0.34164859002169196</v>
      </c>
    </row>
    <row r="38" spans="2:17" x14ac:dyDescent="0.55000000000000004">
      <c r="B38" s="226" t="s">
        <v>1986</v>
      </c>
      <c r="G38" s="226"/>
      <c r="H38" s="230">
        <f>H37/G37-1</f>
        <v>0.14704087858450277</v>
      </c>
      <c r="I38" s="230">
        <f>I37/H37-1</f>
        <v>-1.9148936170212738E-2</v>
      </c>
      <c r="J38" s="226"/>
      <c r="K38" s="376"/>
      <c r="L38" s="230">
        <f>L37/K37-1</f>
        <v>-6.1744966442952909E-2</v>
      </c>
      <c r="M38" s="230">
        <f>M37/L37-1</f>
        <v>-9.8712446351931438E-2</v>
      </c>
      <c r="N38" s="226"/>
      <c r="O38" s="380"/>
      <c r="P38" s="226"/>
      <c r="Q38" s="226"/>
    </row>
    <row r="50" spans="2:14" x14ac:dyDescent="0.55000000000000004">
      <c r="B50" s="22" t="s">
        <v>404</v>
      </c>
    </row>
    <row r="55" spans="2:14" x14ac:dyDescent="0.55000000000000004">
      <c r="M55" t="str">
        <f>Quarts!B24</f>
        <v>Brazil</v>
      </c>
      <c r="N55">
        <f>Quarts!R24</f>
        <v>23.4</v>
      </c>
    </row>
    <row r="56" spans="2:14" x14ac:dyDescent="0.55000000000000004">
      <c r="M56" t="str">
        <f>Quarts!B25</f>
        <v>Argentina</v>
      </c>
      <c r="N56">
        <f>Quarts!R25</f>
        <v>14.2</v>
      </c>
    </row>
    <row r="57" spans="2:14" x14ac:dyDescent="0.55000000000000004">
      <c r="M57" t="str">
        <f>Quarts!B26</f>
        <v>Mexico</v>
      </c>
      <c r="N57">
        <f>Quarts!R26</f>
        <v>22.4</v>
      </c>
    </row>
    <row r="58" spans="2:14" x14ac:dyDescent="0.55000000000000004">
      <c r="M58" t="str">
        <f>Quarts!B27</f>
        <v>Chile</v>
      </c>
      <c r="N58">
        <f>Quarts!R27</f>
        <v>13.9</v>
      </c>
    </row>
    <row r="59" spans="2:14" x14ac:dyDescent="0.55000000000000004">
      <c r="M59" t="str">
        <f>Quarts!B28</f>
        <v>Other LatAm</v>
      </c>
      <c r="N59">
        <f>Quarts!R28</f>
        <v>18.899999999999999</v>
      </c>
    </row>
    <row r="60" spans="2:14" x14ac:dyDescent="0.55000000000000004">
      <c r="M60" t="s">
        <v>846</v>
      </c>
      <c r="N60">
        <f>Quarts!R162</f>
        <v>25.5</v>
      </c>
    </row>
    <row r="69" spans="2:15" x14ac:dyDescent="0.55000000000000004">
      <c r="M69" t="str">
        <f>M60</f>
        <v>Asia/Africa</v>
      </c>
      <c r="N69" s="9">
        <f>Quarts!R162-Quarts!N162</f>
        <v>18.632999999999996</v>
      </c>
      <c r="O69" s="9">
        <f>Quarts!S162-Quarts!O162</f>
        <v>29.475000000000009</v>
      </c>
    </row>
    <row r="70" spans="2:15" x14ac:dyDescent="0.55000000000000004">
      <c r="B70" s="22" t="s">
        <v>405</v>
      </c>
      <c r="M70" t="str">
        <f>M57</f>
        <v>Mexico</v>
      </c>
      <c r="N70">
        <f>Quarts!R26-Quarts!N26</f>
        <v>11.299999999999999</v>
      </c>
      <c r="O70">
        <f>Quarts!S26-Quarts!O26</f>
        <v>9.7999999999999989</v>
      </c>
    </row>
    <row r="71" spans="2:15" x14ac:dyDescent="0.55000000000000004">
      <c r="M71" t="str">
        <f>M55</f>
        <v>Brazil</v>
      </c>
      <c r="N71">
        <f>Quarts!R24-Quarts!N24</f>
        <v>7.2999999999999972</v>
      </c>
      <c r="O71">
        <f>Quarts!S24-Quarts!O24</f>
        <v>4.6999999999999993</v>
      </c>
    </row>
    <row r="72" spans="2:15" x14ac:dyDescent="0.55000000000000004">
      <c r="M72" t="str">
        <f>M58</f>
        <v>Chile</v>
      </c>
      <c r="N72">
        <f>Quarts!R27-Quarts!N27</f>
        <v>2.8000000000000007</v>
      </c>
      <c r="O72">
        <f>Quarts!S27-Quarts!O27</f>
        <v>2.0999999999999996</v>
      </c>
    </row>
    <row r="73" spans="2:15" x14ac:dyDescent="0.55000000000000004">
      <c r="M73" t="str">
        <f>M59</f>
        <v>Other LatAm</v>
      </c>
      <c r="N73">
        <f>Quarts!R28-Quarts!N28</f>
        <v>0.89999999999999858</v>
      </c>
      <c r="O73">
        <f>Quarts!S28-Quarts!O28</f>
        <v>5.0999999999999996</v>
      </c>
    </row>
    <row r="74" spans="2:15" x14ac:dyDescent="0.55000000000000004">
      <c r="M74" t="str">
        <f>M56</f>
        <v>Argentina</v>
      </c>
      <c r="N74">
        <f>Quarts!R25-Quarts!N25</f>
        <v>-0.90000000000000036</v>
      </c>
      <c r="O74">
        <f>Quarts!S25-Quarts!O25</f>
        <v>-1.1000000000000014</v>
      </c>
    </row>
    <row r="83" spans="2:23" x14ac:dyDescent="0.55000000000000004">
      <c r="N83" s="37" t="str">
        <f>Quarts!N2</f>
        <v>Q4 21</v>
      </c>
      <c r="O83" s="37" t="str">
        <f>Quarts!O2</f>
        <v>Q1 22</v>
      </c>
      <c r="P83" s="37" t="str">
        <f>Quarts!P2</f>
        <v>Q2 22</v>
      </c>
      <c r="Q83" s="37" t="str">
        <f>Quarts!Q2</f>
        <v>Q3 22</v>
      </c>
      <c r="R83" s="37" t="str">
        <f>Quarts!R2</f>
        <v>Q4 22</v>
      </c>
      <c r="S83" s="37" t="str">
        <f>Quarts!S2</f>
        <v>Q1 23</v>
      </c>
      <c r="T83" s="37" t="str">
        <f>Quarts!T2</f>
        <v>Q2 23</v>
      </c>
      <c r="U83" s="37" t="str">
        <f>Quarts!U2</f>
        <v>Q3 23</v>
      </c>
      <c r="V83" s="37" t="str">
        <f>Quarts!V2</f>
        <v>Q4 23</v>
      </c>
      <c r="W83" s="37" t="str">
        <f>Quarts!W2</f>
        <v>Q1 24</v>
      </c>
    </row>
    <row r="84" spans="2:23" x14ac:dyDescent="0.55000000000000004">
      <c r="M84" t="s">
        <v>1110</v>
      </c>
      <c r="N84" s="2">
        <f>Quarts!N7</f>
        <v>0.76346982758620685</v>
      </c>
      <c r="O84" s="2">
        <f>Quarts!O7</f>
        <v>0.75</v>
      </c>
      <c r="P84" s="2">
        <f>Quarts!P7</f>
        <v>0.75</v>
      </c>
      <c r="Q84" s="2">
        <f>Quarts!Q7</f>
        <v>0.75128017556693494</v>
      </c>
      <c r="R84" s="2">
        <f>Quarts!R7</f>
        <v>0.71116504854368934</v>
      </c>
      <c r="S84" s="2">
        <f>Quarts!S7</f>
        <v>0.70033575825405703</v>
      </c>
      <c r="T84" s="2">
        <f>Quarts!T7</f>
        <v>0.72947633203750284</v>
      </c>
      <c r="U84" s="2">
        <f>Quarts!U7</f>
        <v>0.74252923343438715</v>
      </c>
      <c r="V84" s="2">
        <f>Quarts!V7</f>
        <v>0.72412443748777144</v>
      </c>
      <c r="W84" s="2">
        <f>Quarts!W7</f>
        <v>0.68870056497175136</v>
      </c>
    </row>
    <row r="85" spans="2:23" x14ac:dyDescent="0.55000000000000004">
      <c r="M85" t="s">
        <v>1111</v>
      </c>
      <c r="N85" s="2">
        <f>Quarts!N8</f>
        <v>0.23653017241379315</v>
      </c>
      <c r="O85" s="2">
        <f>Quarts!O8</f>
        <v>0.25</v>
      </c>
      <c r="P85" s="2">
        <f>Quarts!P8</f>
        <v>0.25</v>
      </c>
      <c r="Q85" s="2">
        <f>Quarts!Q8</f>
        <v>0.24871982443306506</v>
      </c>
      <c r="R85" s="2">
        <f>Quarts!R8</f>
        <v>0.28883495145631066</v>
      </c>
      <c r="S85" s="2">
        <f>Quarts!S8</f>
        <v>0.29966424174594297</v>
      </c>
      <c r="T85" s="2">
        <f>Quarts!T8</f>
        <v>0.27052366796249716</v>
      </c>
      <c r="U85" s="2">
        <f>Quarts!U8</f>
        <v>0.25747076656561285</v>
      </c>
      <c r="V85" s="2">
        <f>Quarts!V8</f>
        <v>0.27587556251222856</v>
      </c>
      <c r="W85" s="2">
        <f>Quarts!W8</f>
        <v>0.31129943502824864</v>
      </c>
    </row>
    <row r="89" spans="2:23" x14ac:dyDescent="0.55000000000000004">
      <c r="B89" s="22" t="s">
        <v>629</v>
      </c>
    </row>
    <row r="103" spans="2:23" x14ac:dyDescent="0.55000000000000004">
      <c r="N103" s="37" t="str">
        <f t="shared" ref="N103:U103" si="16">N83</f>
        <v>Q4 21</v>
      </c>
      <c r="O103" s="37" t="str">
        <f t="shared" si="16"/>
        <v>Q1 22</v>
      </c>
      <c r="P103" s="37" t="str">
        <f t="shared" si="16"/>
        <v>Q2 22</v>
      </c>
      <c r="Q103" s="37" t="str">
        <f t="shared" si="16"/>
        <v>Q3 22</v>
      </c>
      <c r="R103" s="37" t="str">
        <f t="shared" si="16"/>
        <v>Q4 22</v>
      </c>
      <c r="S103" s="37" t="str">
        <f t="shared" si="16"/>
        <v>Q1 23</v>
      </c>
      <c r="T103" s="37" t="str">
        <f t="shared" si="16"/>
        <v>Q2 23</v>
      </c>
      <c r="U103" s="37" t="str">
        <f t="shared" si="16"/>
        <v>Q3 23</v>
      </c>
      <c r="V103" s="37" t="s">
        <v>1775</v>
      </c>
      <c r="W103" s="37" t="s">
        <v>1914</v>
      </c>
    </row>
    <row r="104" spans="2:23" x14ac:dyDescent="0.55000000000000004">
      <c r="M104" t="s">
        <v>61</v>
      </c>
      <c r="N104" s="2">
        <f>Quarts!N13</f>
        <v>0.6287715517241379</v>
      </c>
      <c r="O104" s="2">
        <f>Quarts!O13</f>
        <v>0.66999999999999993</v>
      </c>
      <c r="P104" s="2">
        <f>Quarts!P13</f>
        <v>0.66999999999999993</v>
      </c>
      <c r="Q104" s="2">
        <f>Quarts!Q13</f>
        <v>0.56000000000000005</v>
      </c>
      <c r="R104" s="2">
        <f>Quarts!R13</f>
        <v>0.52942961165048541</v>
      </c>
      <c r="S104" s="2">
        <f>Quarts!S13</f>
        <v>0.54840514829322884</v>
      </c>
      <c r="T104" s="2">
        <f>Quarts!T13</f>
        <v>0.50743196890006859</v>
      </c>
      <c r="U104" s="2">
        <f>Quarts!U13</f>
        <v>0.48852317020355129</v>
      </c>
      <c r="V104" s="2">
        <f>Quarts!V13</f>
        <v>0.43729211504597926</v>
      </c>
      <c r="W104" s="2">
        <f>Quarts!W13</f>
        <v>0.45687382297551787</v>
      </c>
    </row>
    <row r="105" spans="2:23" x14ac:dyDescent="0.55000000000000004">
      <c r="B105" s="22" t="s">
        <v>630</v>
      </c>
      <c r="M105" t="s">
        <v>283</v>
      </c>
      <c r="N105" s="2">
        <f>Quarts!N14</f>
        <v>0.3712284482758621</v>
      </c>
      <c r="O105" s="2">
        <f>Quarts!O14</f>
        <v>0.33</v>
      </c>
      <c r="P105" s="2">
        <f>Quarts!P14</f>
        <v>0.33</v>
      </c>
      <c r="Q105" s="2">
        <f>Quarts!Q14</f>
        <v>0.43999999999999995</v>
      </c>
      <c r="R105" s="2">
        <f>Quarts!R14</f>
        <v>0.47057038834951459</v>
      </c>
      <c r="S105" s="2">
        <f>Quarts!S14</f>
        <v>0.45159485170677116</v>
      </c>
      <c r="T105" s="2">
        <f>Quarts!T14</f>
        <v>0.49256803109993141</v>
      </c>
      <c r="U105" s="2">
        <f>Quarts!U14</f>
        <v>0.51147682979644871</v>
      </c>
      <c r="V105" s="2">
        <f>Quarts!V14</f>
        <v>0.5627078849540208</v>
      </c>
      <c r="W105" s="2">
        <f>Quarts!W14</f>
        <v>0.54312617702448218</v>
      </c>
    </row>
    <row r="124" spans="2:2" x14ac:dyDescent="0.55000000000000004">
      <c r="B124" s="22" t="s">
        <v>254</v>
      </c>
    </row>
    <row r="141" spans="2:8" x14ac:dyDescent="0.55000000000000004">
      <c r="B141" s="22" t="s">
        <v>285</v>
      </c>
      <c r="H141" s="22" t="s">
        <v>1106</v>
      </c>
    </row>
    <row r="160" spans="2:8" x14ac:dyDescent="0.55000000000000004">
      <c r="B160" s="22" t="s">
        <v>219</v>
      </c>
      <c r="H160" s="22" t="s">
        <v>1113</v>
      </c>
    </row>
    <row r="201" spans="2:2" x14ac:dyDescent="0.55000000000000004">
      <c r="B201" s="22" t="s">
        <v>225</v>
      </c>
    </row>
    <row r="221" spans="2:2" x14ac:dyDescent="0.55000000000000004">
      <c r="B221" s="22" t="s">
        <v>632</v>
      </c>
    </row>
    <row r="241" spans="2:13" x14ac:dyDescent="0.55000000000000004">
      <c r="B241" t="s">
        <v>1243</v>
      </c>
    </row>
    <row r="243" spans="2:13" x14ac:dyDescent="0.55000000000000004">
      <c r="B243" s="1"/>
      <c r="C243" s="5" t="str">
        <f>Quarts!M2</f>
        <v>Q3 21</v>
      </c>
      <c r="D243" s="5" t="str">
        <f>Quarts!N2</f>
        <v>Q4 21</v>
      </c>
      <c r="E243" s="5" t="str">
        <f>Quarts!O2</f>
        <v>Q1 22</v>
      </c>
      <c r="F243" s="5" t="str">
        <f>Quarts!P2</f>
        <v>Q2 22</v>
      </c>
      <c r="G243" s="5" t="str">
        <f>Quarts!Q2</f>
        <v>Q3 22</v>
      </c>
      <c r="H243" s="5" t="str">
        <f>Quarts!R2</f>
        <v>Q4 22</v>
      </c>
      <c r="I243" s="5" t="str">
        <f>Quarts!S2</f>
        <v>Q1 23</v>
      </c>
      <c r="J243" s="5" t="str">
        <f>Quarts!T2</f>
        <v>Q2 23</v>
      </c>
      <c r="K243" s="5" t="str">
        <f>Quarts!U2</f>
        <v>Q3 23</v>
      </c>
      <c r="L243" s="5" t="str">
        <f>Quarts!V2</f>
        <v>Q4 23</v>
      </c>
      <c r="M243" s="5" t="str">
        <f>Quarts!W2</f>
        <v>Q1 24</v>
      </c>
    </row>
    <row r="244" spans="2:13" x14ac:dyDescent="0.55000000000000004">
      <c r="B244" s="226" t="str">
        <f>Quarts!B24</f>
        <v>Brazil</v>
      </c>
      <c r="C244" s="233">
        <f>Quarts!M24</f>
        <v>17.7</v>
      </c>
      <c r="D244" s="233">
        <f>Quarts!N24</f>
        <v>16.100000000000001</v>
      </c>
      <c r="E244" s="233">
        <f>Quarts!O24</f>
        <v>18.100000000000001</v>
      </c>
      <c r="F244" s="233">
        <f>Quarts!P24</f>
        <v>20.7</v>
      </c>
      <c r="G244" s="233">
        <f>Quarts!Q24</f>
        <v>21.8</v>
      </c>
      <c r="H244" s="233">
        <f>Quarts!R24</f>
        <v>23.4</v>
      </c>
      <c r="I244" s="233">
        <f>Quarts!S24</f>
        <v>22.8</v>
      </c>
      <c r="J244" s="233">
        <f>Quarts!T24</f>
        <v>41.2</v>
      </c>
      <c r="K244" s="233">
        <f>Quarts!U24</f>
        <v>44.7</v>
      </c>
      <c r="L244" s="233">
        <f>Quarts!V24</f>
        <v>50.2</v>
      </c>
      <c r="M244" s="233">
        <f>Quarts!W24</f>
        <v>43.1</v>
      </c>
    </row>
    <row r="245" spans="2:13" x14ac:dyDescent="0.55000000000000004">
      <c r="B245" t="str">
        <f>Quarts!B25</f>
        <v>Argentina</v>
      </c>
      <c r="C245" s="4">
        <f>Quarts!M25</f>
        <v>13.6</v>
      </c>
      <c r="D245" s="4">
        <f>Quarts!N25</f>
        <v>15.1</v>
      </c>
      <c r="E245" s="4">
        <f>Quarts!O25</f>
        <v>21.1</v>
      </c>
      <c r="F245" s="4">
        <f>Quarts!P25</f>
        <v>23.2</v>
      </c>
      <c r="G245" s="4">
        <f>Quarts!Q25</f>
        <v>19.100000000000001</v>
      </c>
      <c r="H245" s="4">
        <f>Quarts!R25</f>
        <v>14.2</v>
      </c>
      <c r="I245" s="4">
        <f>Quarts!S25</f>
        <v>20</v>
      </c>
      <c r="J245" s="4">
        <f>Quarts!T25</f>
        <v>20.7</v>
      </c>
      <c r="K245" s="4">
        <f>Quarts!U25</f>
        <v>23.9</v>
      </c>
      <c r="L245" s="4">
        <f>Quarts!V25</f>
        <v>10.5</v>
      </c>
      <c r="M245" s="4">
        <f>Quarts!W25</f>
        <v>13.8</v>
      </c>
    </row>
    <row r="246" spans="2:13" x14ac:dyDescent="0.55000000000000004">
      <c r="B246" s="226" t="str">
        <f>Quarts!B26</f>
        <v>Mexico</v>
      </c>
      <c r="C246" s="233">
        <f>Quarts!M26</f>
        <v>8.6999999999999993</v>
      </c>
      <c r="D246" s="233">
        <f>Quarts!N26</f>
        <v>11.1</v>
      </c>
      <c r="E246" s="233">
        <f>Quarts!O26</f>
        <v>12.9</v>
      </c>
      <c r="F246" s="233">
        <f>Quarts!P26</f>
        <v>16</v>
      </c>
      <c r="G246" s="233">
        <f>Quarts!Q26</f>
        <v>16.600000000000001</v>
      </c>
      <c r="H246" s="233">
        <f>Quarts!R26</f>
        <v>22.4</v>
      </c>
      <c r="I246" s="233">
        <f>Quarts!S26</f>
        <v>22.7</v>
      </c>
      <c r="J246" s="233">
        <f>Quarts!T26</f>
        <v>28.3</v>
      </c>
      <c r="K246" s="233">
        <f>Quarts!U26</f>
        <v>30.2</v>
      </c>
      <c r="L246" s="233">
        <f>Quarts!V26</f>
        <v>35.6</v>
      </c>
      <c r="M246" s="233">
        <f>Quarts!W26</f>
        <v>34</v>
      </c>
    </row>
    <row r="247" spans="2:13" x14ac:dyDescent="0.55000000000000004">
      <c r="B247" t="str">
        <f>Quarts!B27</f>
        <v>Chile</v>
      </c>
      <c r="C247" s="4">
        <f>Quarts!M27</f>
        <v>12</v>
      </c>
      <c r="D247" s="4">
        <f>Quarts!N27</f>
        <v>11.1</v>
      </c>
      <c r="E247" s="4">
        <f>Quarts!O27</f>
        <v>12.1</v>
      </c>
      <c r="F247" s="4">
        <f>Quarts!P27</f>
        <v>12.7</v>
      </c>
      <c r="G247" s="4">
        <f>Quarts!Q27</f>
        <v>13.7</v>
      </c>
      <c r="H247" s="4">
        <f>Quarts!R27</f>
        <v>13.9</v>
      </c>
      <c r="I247" s="4">
        <f>Quarts!S27</f>
        <v>14.2</v>
      </c>
      <c r="J247" s="4">
        <f>Quarts!T27</f>
        <v>14.2</v>
      </c>
      <c r="K247" s="4">
        <f>Quarts!U27</f>
        <v>12.4</v>
      </c>
      <c r="L247" s="4">
        <f>Quarts!V27</f>
        <v>14.9</v>
      </c>
      <c r="M247" s="4">
        <f>Quarts!W27</f>
        <v>12.4</v>
      </c>
    </row>
    <row r="248" spans="2:13" x14ac:dyDescent="0.55000000000000004">
      <c r="B248" s="226" t="str">
        <f>Quarts!B28</f>
        <v>Other LatAm</v>
      </c>
      <c r="C248" s="233">
        <f>Quarts!M28</f>
        <v>10.7</v>
      </c>
      <c r="D248" s="233">
        <f>Quarts!N28</f>
        <v>18</v>
      </c>
      <c r="E248" s="233">
        <f>Quarts!O28</f>
        <v>13.4</v>
      </c>
      <c r="F248" s="233">
        <f>Quarts!P28</f>
        <v>15</v>
      </c>
      <c r="G248" s="233">
        <f>Quarts!Q28</f>
        <v>16</v>
      </c>
      <c r="H248" s="233">
        <f>Quarts!R28</f>
        <v>18.899999999999999</v>
      </c>
      <c r="I248" s="233">
        <f>Quarts!S28</f>
        <v>18.5</v>
      </c>
      <c r="J248" s="233">
        <f>Quarts!T28</f>
        <v>22.5</v>
      </c>
      <c r="K248" s="233">
        <f>Quarts!U28</f>
        <v>24.8</v>
      </c>
      <c r="L248" s="233">
        <f>Quarts!V28</f>
        <v>20.3</v>
      </c>
      <c r="M248" s="233">
        <f>Quarts!W28</f>
        <v>22.1</v>
      </c>
    </row>
    <row r="249" spans="2:13" x14ac:dyDescent="0.55000000000000004">
      <c r="B249" t="s">
        <v>69</v>
      </c>
      <c r="C249" s="4"/>
      <c r="D249" s="4"/>
      <c r="E249" s="4">
        <f>Quarts!O31</f>
        <v>1.6</v>
      </c>
      <c r="F249" s="4">
        <f>Quarts!P31</f>
        <v>4.1560000000000059</v>
      </c>
      <c r="G249" s="4">
        <f>Quarts!Q31</f>
        <v>14.617999999999995</v>
      </c>
      <c r="H249" s="4">
        <f>Quarts!R31</f>
        <v>14.5</v>
      </c>
      <c r="I249" s="4">
        <f>Quarts!S31</f>
        <v>26.9</v>
      </c>
      <c r="J249" s="4">
        <f>Quarts!T31</f>
        <v>20.399999999999999</v>
      </c>
      <c r="K249" s="4">
        <f>Quarts!U31</f>
        <v>8.3000000000000007</v>
      </c>
      <c r="L249" s="4">
        <f>Quarts!V31</f>
        <v>28.4</v>
      </c>
      <c r="M249" s="4">
        <f>Quarts!W31</f>
        <v>7.2</v>
      </c>
    </row>
    <row r="250" spans="2:13" x14ac:dyDescent="0.55000000000000004">
      <c r="B250" s="235" t="s">
        <v>1244</v>
      </c>
      <c r="C250" s="236"/>
      <c r="D250" s="236"/>
      <c r="E250" s="236">
        <f>Quarts!O33</f>
        <v>8.0250000000000004</v>
      </c>
      <c r="F250" s="236">
        <f>Quarts!P33</f>
        <v>9</v>
      </c>
      <c r="G250" s="236">
        <f>Quarts!Q33</f>
        <v>10</v>
      </c>
      <c r="H250" s="236">
        <f>Quarts!R33</f>
        <v>11</v>
      </c>
      <c r="I250" s="236">
        <f>Quarts!S33</f>
        <v>8.7000000000000099</v>
      </c>
      <c r="J250" s="236">
        <f>Quarts!T33</f>
        <v>9.0999999999999908</v>
      </c>
      <c r="K250" s="236">
        <f>Quarts!U33</f>
        <v>9.5000000000000053</v>
      </c>
      <c r="L250" s="236">
        <f ca="1">Quarts!V33</f>
        <v>9.7000000000000028</v>
      </c>
      <c r="M250" s="236">
        <f ca="1">Quarts!W33</f>
        <v>12.799999999999997</v>
      </c>
    </row>
    <row r="251" spans="2:13" x14ac:dyDescent="0.55000000000000004">
      <c r="B251" s="10" t="s">
        <v>243</v>
      </c>
      <c r="C251" s="49">
        <f t="shared" ref="C251:J251" si="17">SUM(C244:C250)</f>
        <v>62.7</v>
      </c>
      <c r="D251" s="49">
        <f t="shared" si="17"/>
        <v>71.400000000000006</v>
      </c>
      <c r="E251" s="49">
        <f t="shared" si="17"/>
        <v>87.225000000000009</v>
      </c>
      <c r="F251" s="49">
        <f t="shared" si="17"/>
        <v>100.756</v>
      </c>
      <c r="G251" s="49">
        <f t="shared" si="17"/>
        <v>111.818</v>
      </c>
      <c r="H251" s="49">
        <f t="shared" si="17"/>
        <v>118.29999999999998</v>
      </c>
      <c r="I251" s="49">
        <f t="shared" si="17"/>
        <v>133.80000000000001</v>
      </c>
      <c r="J251" s="49">
        <f t="shared" si="17"/>
        <v>156.4</v>
      </c>
      <c r="K251" s="49">
        <f>SUM(K244:K250)</f>
        <v>153.80000000000001</v>
      </c>
      <c r="L251" s="49">
        <f ca="1">SUM(L244:L250)</f>
        <v>169.60000000000002</v>
      </c>
      <c r="M251" s="49">
        <f ca="1">SUM(M244:M250)</f>
        <v>145.39999999999998</v>
      </c>
    </row>
    <row r="252" spans="2:13" ht="14.7" thickBot="1" x14ac:dyDescent="0.6">
      <c r="I252" s="2"/>
    </row>
    <row r="253" spans="2:13" ht="14.7" thickBot="1" x14ac:dyDescent="0.6">
      <c r="B253" s="292" t="str">
        <f t="shared" ref="B253:B259" si="18">B244</f>
        <v>Brazil</v>
      </c>
      <c r="C253" s="293">
        <f t="shared" ref="C253:J253" si="19">C244/C$251</f>
        <v>0.28229665071770332</v>
      </c>
      <c r="D253" s="293">
        <f t="shared" si="19"/>
        <v>0.22549019607843138</v>
      </c>
      <c r="E253" s="293">
        <f t="shared" si="19"/>
        <v>0.20750931498996847</v>
      </c>
      <c r="F253" s="293">
        <f t="shared" si="19"/>
        <v>0.20544682202548731</v>
      </c>
      <c r="G253" s="293">
        <f t="shared" si="19"/>
        <v>0.19495966660108391</v>
      </c>
      <c r="H253" s="293">
        <f t="shared" si="19"/>
        <v>0.19780219780219782</v>
      </c>
      <c r="I253" s="293">
        <f t="shared" si="19"/>
        <v>0.17040358744394618</v>
      </c>
      <c r="J253" s="293">
        <f t="shared" si="19"/>
        <v>0.26342710997442453</v>
      </c>
      <c r="K253" s="293">
        <f t="shared" ref="K253:L260" si="20">K244/K$251</f>
        <v>0.29063719115734721</v>
      </c>
      <c r="L253" s="293">
        <f t="shared" ca="1" si="20"/>
        <v>0.29599056603773582</v>
      </c>
      <c r="M253" s="293">
        <f t="shared" ref="M253" ca="1" si="21">M244/M$251</f>
        <v>0.29642365887207711</v>
      </c>
    </row>
    <row r="254" spans="2:13" x14ac:dyDescent="0.55000000000000004">
      <c r="B254" t="str">
        <f t="shared" si="18"/>
        <v>Argentina</v>
      </c>
      <c r="C254" s="2">
        <f t="shared" ref="C254:J254" si="22">C245/C$251</f>
        <v>0.21690590111642741</v>
      </c>
      <c r="D254" s="2">
        <f t="shared" si="22"/>
        <v>0.21148459383753498</v>
      </c>
      <c r="E254" s="2">
        <f t="shared" si="22"/>
        <v>0.24190312410432788</v>
      </c>
      <c r="F254" s="2">
        <f t="shared" si="22"/>
        <v>0.23025924014450752</v>
      </c>
      <c r="G254" s="2">
        <f t="shared" si="22"/>
        <v>0.17081328587526159</v>
      </c>
      <c r="H254" s="2">
        <f t="shared" si="22"/>
        <v>0.12003381234150466</v>
      </c>
      <c r="I254" s="2">
        <f t="shared" si="22"/>
        <v>0.14947683109118085</v>
      </c>
      <c r="J254" s="2">
        <f t="shared" si="22"/>
        <v>0.13235294117647059</v>
      </c>
      <c r="K254" s="2">
        <f t="shared" si="20"/>
        <v>0.15539661898569568</v>
      </c>
      <c r="L254" s="2">
        <f t="shared" ca="1" si="20"/>
        <v>6.1910377358490559E-2</v>
      </c>
      <c r="M254" s="2">
        <f t="shared" ref="M254" ca="1" si="23">M245/M$251</f>
        <v>9.4910591471801947E-2</v>
      </c>
    </row>
    <row r="255" spans="2:13" x14ac:dyDescent="0.55000000000000004">
      <c r="B255" s="226" t="str">
        <f t="shared" si="18"/>
        <v>Mexico</v>
      </c>
      <c r="C255" s="230">
        <f t="shared" ref="C255:J255" si="24">C246/C$251</f>
        <v>0.13875598086124399</v>
      </c>
      <c r="D255" s="230">
        <f t="shared" si="24"/>
        <v>0.15546218487394955</v>
      </c>
      <c r="E255" s="230">
        <f t="shared" si="24"/>
        <v>0.14789337919174547</v>
      </c>
      <c r="F255" s="230">
        <f t="shared" si="24"/>
        <v>0.15879947596172933</v>
      </c>
      <c r="G255" s="230">
        <f t="shared" si="24"/>
        <v>0.14845552594394465</v>
      </c>
      <c r="H255" s="230">
        <f t="shared" si="24"/>
        <v>0.18934911242603553</v>
      </c>
      <c r="I255" s="230">
        <f t="shared" si="24"/>
        <v>0.16965620328849026</v>
      </c>
      <c r="J255" s="230">
        <f t="shared" si="24"/>
        <v>0.18094629156010231</v>
      </c>
      <c r="K255" s="230">
        <f t="shared" si="20"/>
        <v>0.19635890767230166</v>
      </c>
      <c r="L255" s="230">
        <f t="shared" ca="1" si="20"/>
        <v>0.20990566037735847</v>
      </c>
      <c r="M255" s="230">
        <f t="shared" ref="M255" ca="1" si="25">M246/M$251</f>
        <v>0.23383768913342506</v>
      </c>
    </row>
    <row r="256" spans="2:13" x14ac:dyDescent="0.55000000000000004">
      <c r="B256" t="str">
        <f t="shared" si="18"/>
        <v>Chile</v>
      </c>
      <c r="C256" s="2">
        <f t="shared" ref="C256:J256" si="26">C247/C$251</f>
        <v>0.19138755980861244</v>
      </c>
      <c r="D256" s="2">
        <f t="shared" si="26"/>
        <v>0.15546218487394955</v>
      </c>
      <c r="E256" s="2">
        <f t="shared" si="26"/>
        <v>0.13872169676124962</v>
      </c>
      <c r="F256" s="2">
        <f t="shared" si="26"/>
        <v>0.12604708404462264</v>
      </c>
      <c r="G256" s="2">
        <f t="shared" si="26"/>
        <v>0.12252052442361694</v>
      </c>
      <c r="H256" s="2">
        <f t="shared" si="26"/>
        <v>0.11749788672865598</v>
      </c>
      <c r="I256" s="2">
        <f t="shared" si="26"/>
        <v>0.1061285500747384</v>
      </c>
      <c r="J256" s="2">
        <f t="shared" si="26"/>
        <v>9.0792838874680301E-2</v>
      </c>
      <c r="K256" s="2">
        <f t="shared" si="20"/>
        <v>8.0624187256176844E-2</v>
      </c>
      <c r="L256" s="2">
        <f t="shared" ca="1" si="20"/>
        <v>8.7853773584905648E-2</v>
      </c>
      <c r="M256" s="2">
        <f t="shared" ref="M256" ca="1" si="27">M247/M$251</f>
        <v>8.5281980742778554E-2</v>
      </c>
    </row>
    <row r="257" spans="2:13" ht="14.7" thickBot="1" x14ac:dyDescent="0.6">
      <c r="B257" s="226" t="str">
        <f t="shared" si="18"/>
        <v>Other LatAm</v>
      </c>
      <c r="C257" s="230">
        <f t="shared" ref="C257:J257" si="28">C248/C$251</f>
        <v>0.17065390749601275</v>
      </c>
      <c r="D257" s="230">
        <f t="shared" si="28"/>
        <v>0.25210084033613445</v>
      </c>
      <c r="E257" s="230">
        <f t="shared" si="28"/>
        <v>0.15362568071080537</v>
      </c>
      <c r="F257" s="230">
        <f t="shared" si="28"/>
        <v>0.14887450871412125</v>
      </c>
      <c r="G257" s="230">
        <f t="shared" si="28"/>
        <v>0.14308966356042854</v>
      </c>
      <c r="H257" s="230">
        <f t="shared" si="28"/>
        <v>0.15976331360946747</v>
      </c>
      <c r="I257" s="230">
        <f t="shared" si="28"/>
        <v>0.1382660687593423</v>
      </c>
      <c r="J257" s="230">
        <f t="shared" si="28"/>
        <v>0.14386189258312021</v>
      </c>
      <c r="K257" s="230">
        <f t="shared" si="20"/>
        <v>0.16124837451235369</v>
      </c>
      <c r="L257" s="230">
        <f t="shared" ca="1" si="20"/>
        <v>0.11969339622641509</v>
      </c>
      <c r="M257" s="230">
        <f t="shared" ref="M257" ca="1" si="29">M248/M$251</f>
        <v>0.15199449793672631</v>
      </c>
    </row>
    <row r="258" spans="2:13" ht="14.7" thickBot="1" x14ac:dyDescent="0.6">
      <c r="B258" s="289" t="str">
        <f t="shared" si="18"/>
        <v>Nigeria</v>
      </c>
      <c r="C258" s="290"/>
      <c r="D258" s="290"/>
      <c r="E258" s="290">
        <f t="shared" ref="E258:J259" si="30">E249/E$251</f>
        <v>1.8343364860991689E-2</v>
      </c>
      <c r="F258" s="290">
        <f t="shared" si="30"/>
        <v>4.1248163881059251E-2</v>
      </c>
      <c r="G258" s="290">
        <f t="shared" si="30"/>
        <v>0.1307302938703965</v>
      </c>
      <c r="H258" s="290">
        <f t="shared" si="30"/>
        <v>0.12256973795435336</v>
      </c>
      <c r="I258" s="290">
        <f t="shared" si="30"/>
        <v>0.20104633781763823</v>
      </c>
      <c r="J258" s="290">
        <f t="shared" si="30"/>
        <v>0.13043478260869565</v>
      </c>
      <c r="K258" s="290">
        <f t="shared" si="20"/>
        <v>5.3966189856957086E-2</v>
      </c>
      <c r="L258" s="290">
        <f t="shared" ca="1" si="20"/>
        <v>0.16745283018867921</v>
      </c>
      <c r="M258" s="290">
        <f t="shared" ref="M258" ca="1" si="31">M249/M$251</f>
        <v>4.9518569463548837E-2</v>
      </c>
    </row>
    <row r="259" spans="2:13" x14ac:dyDescent="0.55000000000000004">
      <c r="B259" s="235" t="str">
        <f t="shared" si="18"/>
        <v>Other Africa/Asia</v>
      </c>
      <c r="C259" s="284"/>
      <c r="D259" s="284"/>
      <c r="E259" s="284">
        <f t="shared" si="30"/>
        <v>9.2003439380911434E-2</v>
      </c>
      <c r="F259" s="284">
        <f t="shared" si="30"/>
        <v>8.9324705228472745E-2</v>
      </c>
      <c r="G259" s="284">
        <f t="shared" si="30"/>
        <v>8.943103972526785E-2</v>
      </c>
      <c r="H259" s="284">
        <f t="shared" si="30"/>
        <v>9.2983939137785299E-2</v>
      </c>
      <c r="I259" s="284">
        <f t="shared" si="30"/>
        <v>6.502242152466374E-2</v>
      </c>
      <c r="J259" s="284">
        <f t="shared" si="30"/>
        <v>5.8184143222506333E-2</v>
      </c>
      <c r="K259" s="284">
        <f t="shared" si="20"/>
        <v>6.1768530559167784E-2</v>
      </c>
      <c r="L259" s="284">
        <f t="shared" ca="1" si="20"/>
        <v>5.7193396226415102E-2</v>
      </c>
      <c r="M259" s="284">
        <f t="shared" ref="M259" ca="1" si="32">M250/M$251</f>
        <v>8.8033012379642367E-2</v>
      </c>
    </row>
    <row r="260" spans="2:13" x14ac:dyDescent="0.55000000000000004">
      <c r="B260" t="str">
        <f>B251</f>
        <v>Group</v>
      </c>
      <c r="C260" s="2">
        <f t="shared" ref="C260:J260" si="33">C251/C$251</f>
        <v>1</v>
      </c>
      <c r="D260" s="2">
        <f t="shared" si="33"/>
        <v>1</v>
      </c>
      <c r="E260" s="2">
        <f t="shared" si="33"/>
        <v>1</v>
      </c>
      <c r="F260" s="2">
        <f t="shared" si="33"/>
        <v>1</v>
      </c>
      <c r="G260" s="2">
        <f t="shared" si="33"/>
        <v>1</v>
      </c>
      <c r="H260" s="2">
        <f t="shared" si="33"/>
        <v>1</v>
      </c>
      <c r="I260" s="2">
        <f t="shared" si="33"/>
        <v>1</v>
      </c>
      <c r="J260" s="2">
        <f t="shared" si="33"/>
        <v>1</v>
      </c>
      <c r="K260" s="2">
        <f t="shared" si="20"/>
        <v>1</v>
      </c>
      <c r="L260" s="2">
        <f t="shared" ca="1" si="20"/>
        <v>1</v>
      </c>
      <c r="M260" s="2">
        <f t="shared" ref="M260" ca="1" si="34">M251/M$251</f>
        <v>1</v>
      </c>
    </row>
    <row r="262" spans="2:13" x14ac:dyDescent="0.55000000000000004">
      <c r="B262" t="s">
        <v>1245</v>
      </c>
    </row>
    <row r="263" spans="2:13" x14ac:dyDescent="0.55000000000000004">
      <c r="B263" t="str">
        <f t="shared" ref="B263:B269" si="35">B244</f>
        <v>Brazil</v>
      </c>
      <c r="I263" s="2">
        <f t="shared" ref="I263:M269" si="36">(I244-E244)/(I$251-E$251)</f>
        <v>0.10091250670960814</v>
      </c>
      <c r="J263" s="2">
        <f t="shared" si="36"/>
        <v>0.36841348573071675</v>
      </c>
      <c r="K263" s="2">
        <f>(K244-G244)/(K$251-G$251)</f>
        <v>0.54547186889619348</v>
      </c>
      <c r="L263" s="2">
        <f ca="1">(L244-H244)/(L$251-H$251)</f>
        <v>0.522417153996101</v>
      </c>
      <c r="M263" s="2">
        <f ca="1">(M244-I244)/(M$251-I$251)</f>
        <v>1.7500000000000051</v>
      </c>
    </row>
    <row r="264" spans="2:13" x14ac:dyDescent="0.55000000000000004">
      <c r="B264" t="str">
        <f t="shared" si="35"/>
        <v>Argentina</v>
      </c>
      <c r="I264" s="2">
        <f t="shared" si="36"/>
        <v>-2.3617820719270023E-2</v>
      </c>
      <c r="J264" s="2">
        <f t="shared" si="36"/>
        <v>-4.492847386959959E-2</v>
      </c>
      <c r="K264" s="2">
        <f t="shared" si="36"/>
        <v>0.11433471487780467</v>
      </c>
      <c r="L264" s="2">
        <f t="shared" ca="1" si="36"/>
        <v>-7.2124756335282578E-2</v>
      </c>
      <c r="M264" s="2">
        <f t="shared" ca="1" si="36"/>
        <v>-0.53448275862069117</v>
      </c>
    </row>
    <row r="265" spans="2:13" x14ac:dyDescent="0.55000000000000004">
      <c r="B265" t="str">
        <f t="shared" si="35"/>
        <v>Mexico</v>
      </c>
      <c r="I265" s="2">
        <f t="shared" si="36"/>
        <v>0.21041331186258719</v>
      </c>
      <c r="J265" s="2">
        <f t="shared" si="36"/>
        <v>0.22104809143843002</v>
      </c>
      <c r="K265" s="2">
        <f>(K246-G246)/(K$251-G$251)</f>
        <v>0.3239483588204467</v>
      </c>
      <c r="L265" s="2">
        <f ca="1">(L246-H246)/(L$251-H$251)</f>
        <v>0.25730994152046771</v>
      </c>
      <c r="M265" s="2">
        <f ca="1">(M246-I246)/(M$251-I$251)</f>
        <v>0.97413793103448565</v>
      </c>
    </row>
    <row r="266" spans="2:13" x14ac:dyDescent="0.55000000000000004">
      <c r="B266" t="str">
        <f t="shared" si="35"/>
        <v>Chile</v>
      </c>
      <c r="I266" s="2">
        <f t="shared" si="36"/>
        <v>4.5088566827697255E-2</v>
      </c>
      <c r="J266" s="2">
        <f t="shared" si="36"/>
        <v>2.6957084321759757E-2</v>
      </c>
      <c r="K266" s="2">
        <f t="shared" si="36"/>
        <v>-3.0965651946072092E-2</v>
      </c>
      <c r="L266" s="2">
        <f t="shared" ca="1" si="36"/>
        <v>1.9493177387914215E-2</v>
      </c>
      <c r="M266" s="2">
        <f t="shared" ca="1" si="36"/>
        <v>-0.15517241379310381</v>
      </c>
    </row>
    <row r="267" spans="2:13" x14ac:dyDescent="0.55000000000000004">
      <c r="B267" t="str">
        <f t="shared" si="35"/>
        <v>Other LatAm</v>
      </c>
      <c r="I267" s="2">
        <f t="shared" si="36"/>
        <v>0.10950080515297905</v>
      </c>
      <c r="J267" s="2">
        <f t="shared" si="36"/>
        <v>0.13478542160879878</v>
      </c>
      <c r="K267" s="2">
        <f>(K248-G248)/(K$251-G$251)</f>
        <v>0.20961364394264204</v>
      </c>
      <c r="L267" s="2">
        <f ca="1">(L248-H248)/(L$251-H$251)</f>
        <v>2.7290448343079941E-2</v>
      </c>
      <c r="M267" s="2">
        <f ca="1">(M248-I248)/(M$251-I$251)</f>
        <v>0.31034482758620791</v>
      </c>
    </row>
    <row r="268" spans="2:13" x14ac:dyDescent="0.55000000000000004">
      <c r="B268" t="str">
        <f t="shared" si="35"/>
        <v>Nigeria</v>
      </c>
      <c r="I268" s="2">
        <f t="shared" si="36"/>
        <v>0.54320987654320974</v>
      </c>
      <c r="J268" s="2">
        <f t="shared" si="36"/>
        <v>0.2919272518151102</v>
      </c>
      <c r="K268" s="2">
        <f t="shared" si="36"/>
        <v>-0.15049306845791036</v>
      </c>
      <c r="L268" s="2">
        <f t="shared" ca="1" si="36"/>
        <v>0.27095516569200756</v>
      </c>
      <c r="M268" s="2">
        <f t="shared" ca="1" si="36"/>
        <v>-1.6982758620689704</v>
      </c>
    </row>
    <row r="269" spans="2:13" x14ac:dyDescent="0.55000000000000004">
      <c r="B269" t="str">
        <f t="shared" si="35"/>
        <v>Other Africa/Asia</v>
      </c>
      <c r="I269" s="2">
        <f t="shared" si="36"/>
        <v>1.4492753623188611E-2</v>
      </c>
      <c r="J269" s="2">
        <f t="shared" si="36"/>
        <v>1.7971389547838178E-3</v>
      </c>
      <c r="K269" s="2">
        <f t="shared" si="36"/>
        <v>-1.1909866133104532E-2</v>
      </c>
      <c r="L269" s="2">
        <f t="shared" ca="1" si="36"/>
        <v>-2.5341130604288425E-2</v>
      </c>
      <c r="M269" s="2">
        <f t="shared" ca="1" si="36"/>
        <v>0.35344827586206889</v>
      </c>
    </row>
    <row r="271" spans="2:13" x14ac:dyDescent="0.55000000000000004">
      <c r="B271" t="s">
        <v>64</v>
      </c>
      <c r="C271" s="2"/>
      <c r="I271" s="2">
        <v>9.3859211183225141E-2</v>
      </c>
      <c r="J271" s="2">
        <v>0.33915690556548206</v>
      </c>
      <c r="K271" s="2">
        <v>0.43969125609615606</v>
      </c>
      <c r="L271" s="2">
        <v>0.38450502152080324</v>
      </c>
      <c r="M271" s="2">
        <v>0.38450502152080324</v>
      </c>
    </row>
    <row r="272" spans="2:13" x14ac:dyDescent="0.55000000000000004">
      <c r="B272" t="s">
        <v>1244</v>
      </c>
      <c r="C272" s="2"/>
      <c r="I272" s="2">
        <v>8.3374937593609769E-2</v>
      </c>
      <c r="J272" s="2">
        <v>8.1066772549798147E-2</v>
      </c>
      <c r="K272" s="2">
        <v>0.18432471871279904</v>
      </c>
      <c r="L272" s="2">
        <v>0.24533715925394534</v>
      </c>
      <c r="M272" s="2">
        <v>0.24533715925394534</v>
      </c>
    </row>
    <row r="273" spans="2:13" x14ac:dyDescent="0.55000000000000004">
      <c r="B273" t="s">
        <v>69</v>
      </c>
      <c r="C273" s="2"/>
      <c r="I273" s="2">
        <v>0.50524213679480767</v>
      </c>
      <c r="J273" s="2">
        <v>0.26874462312222863</v>
      </c>
      <c r="K273" s="2">
        <v>-0.12130870550286074</v>
      </c>
      <c r="L273" s="2">
        <v>0.19942611190817774</v>
      </c>
      <c r="M273" s="2">
        <v>0.19942611190817774</v>
      </c>
    </row>
    <row r="274" spans="2:13" x14ac:dyDescent="0.55000000000000004">
      <c r="B274" t="s">
        <v>68</v>
      </c>
      <c r="C274" s="2"/>
      <c r="I274" s="2">
        <v>0.19570644033949072</v>
      </c>
      <c r="J274" s="2">
        <v>0.20349414333928922</v>
      </c>
      <c r="K274" s="2">
        <v>0.2611266848431319</v>
      </c>
      <c r="L274" s="2">
        <v>0.18938307030129117</v>
      </c>
      <c r="M274" s="2">
        <v>0.18938307030129117</v>
      </c>
    </row>
    <row r="275" spans="2:13" x14ac:dyDescent="0.55000000000000004">
      <c r="B275" t="s">
        <v>79</v>
      </c>
      <c r="C275" s="2"/>
      <c r="I275" s="2">
        <v>0.1018472291562656</v>
      </c>
      <c r="J275" s="2">
        <v>0.12408179471907878</v>
      </c>
      <c r="K275" s="2">
        <v>0.16896432548673246</v>
      </c>
      <c r="L275" s="2">
        <v>2.008608321377333E-2</v>
      </c>
      <c r="M275" s="2">
        <v>2.008608321377333E-2</v>
      </c>
    </row>
    <row r="276" spans="2:13" x14ac:dyDescent="0.55000000000000004">
      <c r="B276" t="s">
        <v>74</v>
      </c>
      <c r="C276" s="2"/>
      <c r="I276" s="2">
        <v>4.1937094358462296E-2</v>
      </c>
      <c r="J276" s="2">
        <v>2.4816358943815755E-2</v>
      </c>
      <c r="K276" s="2">
        <v>-2.4960638992358179E-2</v>
      </c>
      <c r="L276" s="2">
        <v>1.4347202295552359E-2</v>
      </c>
      <c r="M276" s="2">
        <v>1.4347202295552359E-2</v>
      </c>
    </row>
    <row r="277" spans="2:13" x14ac:dyDescent="0.55000000000000004">
      <c r="B277" t="s">
        <v>75</v>
      </c>
      <c r="C277" s="2"/>
      <c r="I277" s="2">
        <v>-2.1967049425861234E-2</v>
      </c>
      <c r="J277" s="2">
        <v>-4.1360598239692931E-2</v>
      </c>
      <c r="K277" s="2">
        <v>9.2162359356399451E-2</v>
      </c>
      <c r="L277" s="2">
        <v>-5.3084648493543711E-2</v>
      </c>
      <c r="M277" s="2">
        <v>-5.3084648493543711E-2</v>
      </c>
    </row>
  </sheetData>
  <sortState xmlns:xlrd2="http://schemas.microsoft.com/office/spreadsheetml/2017/richdata2" ref="B271:L277">
    <sortCondition descending="1" ref="L271:L277"/>
  </sortState>
  <mergeCells count="3">
    <mergeCell ref="K28:N28"/>
    <mergeCell ref="G28:J28"/>
    <mergeCell ref="O28:Q28"/>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Master</vt:lpstr>
      <vt:lpstr>Quarts</vt:lpstr>
      <vt:lpstr>Analysis</vt:lpstr>
      <vt:lpstr>Summary</vt:lpstr>
      <vt:lpstr>Cons</vt:lpstr>
      <vt:lpstr>Guide-Cons</vt:lpstr>
      <vt:lpstr>Valuation</vt:lpstr>
      <vt:lpstr>Snaps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Soomit Datta</dc:creator>
  <cp:lastModifiedBy>Soomit Datta</cp:lastModifiedBy>
  <cp:lastPrinted>2024-05-14T22:57:12Z</cp:lastPrinted>
  <dcterms:created xsi:type="dcterms:W3CDTF">2021-06-28T16:39:31Z</dcterms:created>
  <dcterms:modified xsi:type="dcterms:W3CDTF">2024-07-08T06:39:08Z</dcterms:modified>
</cp:coreProperties>
</file>